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8960c7e71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_ME" sheetId="1" r:id="R0846063413774aa3"/>
    <x:sheet xmlns:r="http://schemas.openxmlformats.org/officeDocument/2006/relationships" name="GL_EXPORT" sheetId="2" r:id="R141a83633cf44e7a"/>
    <x:sheet xmlns:r="http://schemas.openxmlformats.org/officeDocument/2006/relationships" name="BANK_EXPORT" sheetId="3" r:id="Re534bf51fa9e43df"/>
    <x:sheet xmlns:r="http://schemas.openxmlformats.org/officeDocument/2006/relationships" name="INVOICES" sheetId="4" r:id="Re9841f7301d04bd0"/>
    <x:sheet xmlns:r="http://schemas.openxmlformats.org/officeDocument/2006/relationships" name="RECEIPTS" sheetId="5" r:id="R6e0b77a416bc4049"/>
    <x:sheet xmlns:r="http://schemas.openxmlformats.org/officeDocument/2006/relationships" name="CREDIT_NOTES" sheetId="6" r:id="R0b5c4654ec814b6d"/>
    <x:sheet xmlns:r="http://schemas.openxmlformats.org/officeDocument/2006/relationships" name="BUDGET" sheetId="7" r:id="R6959ef3ffe254e70"/>
    <x:sheet xmlns:r="http://schemas.openxmlformats.org/officeDocument/2006/relationships" name="TIMING_EVIDENCE" sheetId="8" r:id="Rd2db34a615aa4fd3"/>
    <x:sheet xmlns:r="http://schemas.openxmlformats.org/officeDocument/2006/relationships" name="CASH_MATCH" sheetId="9" r:id="Rcb6b17065b5846b2"/>
    <x:sheet xmlns:r="http://schemas.openxmlformats.org/officeDocument/2006/relationships" name="BANK_RECON" sheetId="10" r:id="Rf51f3f349e4e414a"/>
    <x:sheet xmlns:r="http://schemas.openxmlformats.org/officeDocument/2006/relationships" name="AR_AGING" sheetId="11" r:id="Rbe3c857cf9d04c63"/>
    <x:sheet xmlns:r="http://schemas.openxmlformats.org/officeDocument/2006/relationships" name="PNL_VARIANCE" sheetId="12" r:id="R770fb153cf2044ff"/>
    <x:sheet xmlns:r="http://schemas.openxmlformats.org/officeDocument/2006/relationships" name="DASHBOARD" sheetId="13" r:id="R138c6e8ee94c4adf"/>
    <x:sheet xmlns:r="http://schemas.openxmlformats.org/officeDocument/2006/relationships" name="CONTROLS" sheetId="14" r:id="Rd223db901e9f4dca"/>
    <x:sheet xmlns:r="http://schemas.openxmlformats.org/officeDocument/2006/relationships" name="ANSWER_KEY" sheetId="15" r:id="R64faf099dbdf45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#,##0.00;[Red](#,##0.00);-"/>
    <x:numFmt numFmtId="202" formatCode="0.0%;[Red](0.0%);-"/>
  </x:numFmts>
  <x:fonts count="8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name val="Carlito"/>
    </x:font>
    <x:font>
      <x:b/>
      <x:sz val="11"/>
      <x:color rgb="FF0B7C86"/>
      <x:name val="Carlito"/>
    </x:font>
    <x:font>
      <x:sz val="11"/>
      <x:color rgb="FF0000FF"/>
      <x:name val="Carlito"/>
    </x:font>
    <x:font>
      <x:sz val="11"/>
      <x:color rgb="FF00800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047"/>
      </x:patternFill>
    </x:fill>
    <x:fill>
      <x:patternFill patternType="solid">
        <x:fgColor rgb="FF0B7C86"/>
      </x:patternFill>
    </x:fill>
    <x:fill>
      <x:patternFill patternType="solid">
        <x:fgColor rgb="FFE7F4F3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7" fillId="0" borderId="0" xfId="0" applyNumberFormat="1" applyFont="1" applyFill="1" applyBorder="1"/>
    <x:xf numFmtId="200" fontId="7" fillId="0" borderId="0" xfId="0" applyNumberFormat="1" applyFont="1" applyFill="1" applyBorder="1"/>
    <x:xf numFmtId="201" fontId="7" fillId="0" borderId="0" xfId="0" applyNumberFormat="1" applyFont="1" applyFill="1" applyBorder="1"/>
    <x:xf numFmtId="0" fontId="7" fillId="0" borderId="1" xfId="0" applyNumberFormat="1" applyFont="1" applyFill="1" applyBorder="1"/>
    <x:xf numFmtId="200" fontId="7" fillId="0" borderId="1" xfId="0" applyNumberFormat="1" applyFont="1" applyFill="1" applyBorder="1"/>
    <x:xf numFmtId="201" fontId="7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201" fontId="4" fillId="4" borderId="0" xfId="0" applyNumberFormat="1" applyFont="1" applyFill="1" applyBorder="1"/>
    <x:xf numFmtId="201" fontId="4" fillId="4" borderId="1" xfId="0" applyNumberFormat="1" applyFont="1" applyFill="1" applyBorder="1"/>
    <x:xf numFmtId="201" fontId="0" fillId="4" borderId="0" xfId="0" applyNumberFormat="1" applyFont="1" applyFill="1" applyBorder="1"/>
    <x:xf numFmtId="201" fontId="0" fillId="4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69fa6d5984418" /><Relationship Type="http://schemas.openxmlformats.org/officeDocument/2006/relationships/theme" Target="/xl/theme/theme1.xml" Id="R6749f6f6ea894006" /><Relationship Type="http://schemas.openxmlformats.org/officeDocument/2006/relationships/sharedStrings" Target="/xl/sharedStrings.xml" Id="R905af488f347493d" /><Relationship Type="http://schemas.openxmlformats.org/officeDocument/2006/relationships/worksheet" Target="/xl/worksheets/sheet1.xml" Id="R0846063413774aa3" /><Relationship Type="http://schemas.openxmlformats.org/officeDocument/2006/relationships/worksheet" Target="/xl/worksheets/sheet2.xml" Id="R141a83633cf44e7a" /><Relationship Type="http://schemas.openxmlformats.org/officeDocument/2006/relationships/worksheet" Target="/xl/worksheets/sheet3.xml" Id="Re534bf51fa9e43df" /><Relationship Type="http://schemas.openxmlformats.org/officeDocument/2006/relationships/worksheet" Target="/xl/worksheets/sheet4.xml" Id="Re9841f7301d04bd0" /><Relationship Type="http://schemas.openxmlformats.org/officeDocument/2006/relationships/worksheet" Target="/xl/worksheets/sheet5.xml" Id="R6e0b77a416bc4049" /><Relationship Type="http://schemas.openxmlformats.org/officeDocument/2006/relationships/worksheet" Target="/xl/worksheets/sheet6.xml" Id="R0b5c4654ec814b6d" /><Relationship Type="http://schemas.openxmlformats.org/officeDocument/2006/relationships/worksheet" Target="/xl/worksheets/sheet7.xml" Id="R6959ef3ffe254e70" /><Relationship Type="http://schemas.openxmlformats.org/officeDocument/2006/relationships/worksheet" Target="/xl/worksheets/sheet8.xml" Id="Rd2db34a615aa4fd3" /><Relationship Type="http://schemas.openxmlformats.org/officeDocument/2006/relationships/worksheet" Target="/xl/worksheets/sheet9.xml" Id="Rcb6b17065b5846b2" /><Relationship Type="http://schemas.openxmlformats.org/officeDocument/2006/relationships/worksheet" Target="/xl/worksheets/sheet10.xml" Id="Rf51f3f349e4e414a" /><Relationship Type="http://schemas.openxmlformats.org/officeDocument/2006/relationships/worksheet" Target="/xl/worksheets/sheet11.xml" Id="Rbe3c857cf9d04c63" /><Relationship Type="http://schemas.openxmlformats.org/officeDocument/2006/relationships/worksheet" Target="/xl/worksheets/sheet12.xml" Id="R770fb153cf2044ff" /><Relationship Type="http://schemas.openxmlformats.org/officeDocument/2006/relationships/worksheet" Target="/xl/worksheets/sheet13.xml" Id="R138c6e8ee94c4adf" /><Relationship Type="http://schemas.openxmlformats.org/officeDocument/2006/relationships/worksheet" Target="/xl/worksheets/sheet14.xml" Id="Rd223db901e9f4dca" /><Relationship Type="http://schemas.openxmlformats.org/officeDocument/2006/relationships/worksheet" Target="/xl/worksheets/sheet15.xml" Id="R64faf099dbdf45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6" hidden="0" customWidth="1"/>
    <x:col min="3" max="3" width="29" hidden="0" customWidth="1"/>
  </x:cols>
  <x:sheetData>
    <x:row r="1">
      <x:c r="A1" s="8" t="str">
        <x:v>MODULE 10  |  MONTH-END REPORTING  |  SOLUTION</x:v>
      </x:c>
      <x:c r="B1" s="8"/>
      <x:c r="C1" s="8"/>
      <x:c r="D1" s="8"/>
      <x:c r="E1" s="8"/>
      <x:c r="F1" s="8"/>
      <x:c r="G1" s="8"/>
      <x:c r="H1" s="8"/>
    </x:row>
    <x:row r="2">
      <x:c r="A2" s="8"/>
      <x:c r="B2" s="8"/>
      <x:c r="C2" s="8"/>
      <x:c r="D2" s="8"/>
      <x:c r="E2" s="8"/>
      <x:c r="F2" s="8"/>
      <x:c r="G2" s="8"/>
      <x:c r="H2" s="8"/>
    </x:row>
    <x:row r="4">
      <x:c r="A4" t="str">
        <x:v>Company</x:v>
      </x:c>
      <x:c r="B4" t="str">
        <x:v>Northstar Supplies Ltd. (fictional)</x:v>
      </x:c>
    </x:row>
    <x:row r="5">
      <x:c r="A5" t="str">
        <x:v>Month start</x:v>
      </x:c>
      <x:c r="B5" s="10" t="n">
        <x:v>46143</x:v>
      </x:c>
    </x:row>
    <x:row r="6">
      <x:c r="A6" t="str">
        <x:v>Reporting cut-off</x:v>
      </x:c>
      <x:c r="B6" s="10" t="n">
        <x:v>46173</x:v>
      </x:c>
    </x:row>
    <x:row r="7">
      <x:c r="A7" t="str">
        <x:v>Opening cash (USD)</x:v>
      </x:c>
      <x:c r="B7" s="12" t="n">
        <x:v>35000</x:v>
      </x:c>
    </x:row>
    <x:row r="8">
      <x:c r="A8" t="str">
        <x:v>Opening A/R (USD)</x:v>
      </x:c>
      <x:c r="B8" s="12" t="n">
        <x:v>25500</x:v>
      </x:c>
    </x:row>
    <x:row r="9">
      <x:c r="A9" t="str">
        <x:v>Currency</x:v>
      </x:c>
      <x:c r="B9" t="str">
        <x:v>USD</x:v>
      </x:c>
    </x:row>
    <x:row r="10">
      <x:c r="A10" t="str">
        <x:v>Workbook version</x:v>
      </x:c>
      <x:c r="B10" t="str">
        <x:v>SOLUTION</x:v>
      </x:c>
    </x:row>
    <x:row r="13">
      <x:c r="A13" s="16" t="str">
        <x:v>MISSION</x:v>
      </x:c>
    </x:row>
    <x:row r="14">
      <x:c r="A14" t="str">
        <x:v>Prepare a close pack: cash reconciliation, A/R aging, operating result vs budget, executive dashboard and controls.</x:v>
      </x:c>
    </x:row>
    <x:row r="16">
      <x:c r="A16" s="16" t="str">
        <x:v>RULES</x:v>
      </x:c>
    </x:row>
    <x:row r="17">
      <x:c r="A17" t="str">
        <x:v>Use only POSTED journal entries. Apply a 31 May 2026 cut-off to receipts and credit notes. No sales tax in this educational model.</x:v>
      </x:c>
    </x:row>
    <x:row r="19">
      <x:c r="A19" s="16" t="str">
        <x:v>BANK EVIDENCE</x:v>
      </x:c>
    </x:row>
    <x:row r="20">
      <x:c r="A20" t="str">
        <x:v>Use TIMING_EVIDENCE before treating an unmatched item as a deposit in transit or an outstanding payment.</x:v>
      </x:c>
    </x:row>
    <x:row r="22">
      <x:c r="A22" s="16" t="str">
        <x:v>ADJUSTMENTS</x:v>
      </x:c>
    </x:row>
    <x:row r="23">
      <x:c r="A23" t="str">
        <x:v>May bank service fee and interest appear only on BANK_EXPORT. Record them as proposed adjustments; do not overwrite raw data.</x:v>
      </x:c>
    </x:row>
    <x:row r="25">
      <x:c r="A25" s="16" t="str">
        <x:v>EXPECTED DELIVERABLES</x:v>
      </x:c>
    </x:row>
    <x:row r="26">
      <x:c r="A26" t="str">
        <x:v>BANK_RECON, AR_AGING, PNL_VARIANCE, DASHBOARD and CONTROLS. Finish with a 120-word management note.</x:v>
      </x:c>
    </x:row>
    <x:row r="28">
      <x:c r="A28" s="16" t="str">
        <x:v>IMPORTANT</x:v>
      </x:c>
    </x:row>
    <x:row r="29">
      <x:c r="A29" t="str">
        <x:v>This is a standalone teaching case. The company and figures are fabricated; outputs are not financial statements or professional advice.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16" hidden="0" customWidth="1"/>
    <x:col min="3" max="3" width="19" hidden="0" customWidth="1"/>
    <x:col min="4" max="4" width="18" hidden="0" customWidth="1"/>
    <x:col min="5" max="5" width="22" hidden="0" customWidth="1"/>
    <x:col min="6" max="6" width="43" hidden="0" customWidth="1"/>
    <x:col min="7" max="7" width="18" hidden="0" customWidth="1"/>
    <x:col min="8" max="8" width="18" hidden="0" customWidth="1"/>
    <x:col min="9" max="9" width="18" hidden="0" customWidth="1"/>
    <x:col min="10" max="10" width="22" hidden="0" customWidth="1"/>
  </x:cols>
  <x:sheetData>
    <x:row r="1">
      <x:c r="A1" s="8" t="str">
        <x:v>SOURCE 01  •  GENERAL LEDGER</x:v>
      </x:c>
      <x:c r="B1" s="8"/>
      <x:c r="C1" s="8"/>
      <x:c r="D1" s="8"/>
      <x:c r="E1" s="8"/>
      <x:c r="F1" s="8"/>
      <x:c r="G1" s="8"/>
      <x:c r="H1" s="8"/>
      <x:c r="I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</x:row>
    <x:row r="5" ht="29" customHeight="1">
      <x:c r="A5" s="24" t="str">
        <x:v>Journal ID</x:v>
      </x:c>
      <x:c r="B5" s="24" t="str">
        <x:v>Posting date</x:v>
      </x:c>
      <x:c r="C5" s="24" t="str">
        <x:v>Reference</x:v>
      </x:c>
      <x:c r="D5" s="24" t="str">
        <x:v>Account code</x:v>
      </x:c>
      <x:c r="E5" s="24" t="str">
        <x:v>Department</x:v>
      </x:c>
      <x:c r="F5" s="24" t="str">
        <x:v>Description</x:v>
      </x:c>
      <x:c r="G5" s="24" t="str">
        <x:v>Debit (USD)</x:v>
      </x:c>
      <x:c r="H5" s="24" t="str">
        <x:v>Credit (USD)</x:v>
      </x:c>
      <x:c r="I5" s="24" t="str">
        <x:v>Status</x:v>
      </x:c>
      <x:c r="J5" s="22" t="str">
        <x:v>Account mapping check</x:v>
      </x:c>
    </x:row>
    <x:row r="6" ht="21" customHeight="1">
      <x:c r="A6" t="str">
        <x:v>SI-001</x:v>
      </x:c>
      <x:c r="B6" s="10" t="n">
        <x:v>46144</x:v>
      </x:c>
      <x:c r="C6" t="str">
        <x:v>INV-2605-201</x:v>
      </x:c>
      <x:c r="D6" t="n">
        <x:v>1100</x:v>
      </x:c>
      <x:c r="E6" t="str">
        <x:v>Sales</x:v>
      </x:c>
      <x:c r="F6" t="str">
        <x:v>Customer services invoiced</x:v>
      </x:c>
      <x:c r="G6" s="26" t="n">
        <x:v>5750</x:v>
      </x:c>
      <x:c r="H6" s="26" t="n">
        <x:v>0</x:v>
      </x:c>
      <x:c r="I6" t="str">
        <x:v>POSTED</x:v>
      </x:c>
      <x:c r="J6" t="str">
        <x:f>IF(OR(D6=1000,D6=1100,COUNTIF(BUDGET!$A$6:$A$14,D6)&gt;0),"KNOWN","UNKNOWN")</x:f>
        <x:v>KNOWN</x:v>
      </x:c>
    </x:row>
    <x:row r="7" ht="21" customHeight="1">
      <x:c r="A7" t="str">
        <x:v>SI-001</x:v>
      </x:c>
      <x:c r="B7" s="10" t="n">
        <x:v>46144</x:v>
      </x:c>
      <x:c r="C7" t="str">
        <x:v>INV-2605-201</x:v>
      </x:c>
      <x:c r="D7" t="n">
        <x:v>4000</x:v>
      </x:c>
      <x:c r="E7" t="str">
        <x:v>Sales</x:v>
      </x:c>
      <x:c r="F7" t="str">
        <x:v>Customer services invoiced</x:v>
      </x:c>
      <x:c r="G7" s="26" t="n">
        <x:v>0</x:v>
      </x:c>
      <x:c r="H7" s="26" t="n">
        <x:v>5750</x:v>
      </x:c>
      <x:c r="I7" t="str">
        <x:v>POSTED</x:v>
      </x:c>
      <x:c r="J7" t="str">
        <x:f>IF(OR(D7=1000,D7=1100,COUNTIF(BUDGET!$A$6:$A$14,D7)&gt;0),"KNOWN","UNKNOWN")</x:f>
        <x:v>KNOWN</x:v>
      </x:c>
    </x:row>
    <x:row r="8" ht="21" customHeight="1">
      <x:c r="A8" t="str">
        <x:v>SI-002</x:v>
      </x:c>
      <x:c r="B8" s="10" t="n">
        <x:v>46146</x:v>
      </x:c>
      <x:c r="C8" t="str">
        <x:v>INV-2605-202</x:v>
      </x:c>
      <x:c r="D8" t="n">
        <x:v>1100</x:v>
      </x:c>
      <x:c r="E8" t="str">
        <x:v>Sales</x:v>
      </x:c>
      <x:c r="F8" t="str">
        <x:v>Customer services invoiced</x:v>
      </x:c>
      <x:c r="G8" s="26" t="n">
        <x:v>6450</x:v>
      </x:c>
      <x:c r="H8" s="26" t="n">
        <x:v>0</x:v>
      </x:c>
      <x:c r="I8" t="str">
        <x:v>POSTED</x:v>
      </x:c>
      <x:c r="J8" t="str">
        <x:f>IF(OR(D8=1000,D8=1100,COUNTIF(BUDGET!$A$6:$A$14,D8)&gt;0),"KNOWN","UNKNOWN")</x:f>
        <x:v>KNOWN</x:v>
      </x:c>
    </x:row>
    <x:row r="9" ht="21" customHeight="1">
      <x:c r="A9" t="str">
        <x:v>SI-002</x:v>
      </x:c>
      <x:c r="B9" s="10" t="n">
        <x:v>46146</x:v>
      </x:c>
      <x:c r="C9" t="str">
        <x:v>INV-2605-202</x:v>
      </x:c>
      <x:c r="D9" t="n">
        <x:v>4000</x:v>
      </x:c>
      <x:c r="E9" t="str">
        <x:v>Sales</x:v>
      </x:c>
      <x:c r="F9" t="str">
        <x:v>Customer services invoiced</x:v>
      </x:c>
      <x:c r="G9" s="26" t="n">
        <x:v>0</x:v>
      </x:c>
      <x:c r="H9" s="26" t="n">
        <x:v>6450</x:v>
      </x:c>
      <x:c r="I9" t="str">
        <x:v>POSTED</x:v>
      </x:c>
      <x:c r="J9" t="str">
        <x:f>IF(OR(D9=1000,D9=1100,COUNTIF(BUDGET!$A$6:$A$14,D9)&gt;0),"KNOWN","UNKNOWN")</x:f>
        <x:v>KNOWN</x:v>
      </x:c>
    </x:row>
    <x:row r="10" ht="21" customHeight="1">
      <x:c r="A10" t="str">
        <x:v>SI-003</x:v>
      </x:c>
      <x:c r="B10" s="10" t="n">
        <x:v>46148</x:v>
      </x:c>
      <x:c r="C10" t="str">
        <x:v>INV-2605-203</x:v>
      </x:c>
      <x:c r="D10" t="n">
        <x:v>1100</x:v>
      </x:c>
      <x:c r="E10" t="str">
        <x:v>Sales</x:v>
      </x:c>
      <x:c r="F10" t="str">
        <x:v>Customer services invoiced</x:v>
      </x:c>
      <x:c r="G10" s="26" t="n">
        <x:v>7200</x:v>
      </x:c>
      <x:c r="H10" s="26" t="n">
        <x:v>0</x:v>
      </x:c>
      <x:c r="I10" t="str">
        <x:v>POSTED</x:v>
      </x:c>
      <x:c r="J10" t="str">
        <x:f>IF(OR(D10=1000,D10=1100,COUNTIF(BUDGET!$A$6:$A$14,D10)&gt;0),"KNOWN","UNKNOWN")</x:f>
        <x:v>KNOWN</x:v>
      </x:c>
    </x:row>
    <x:row r="11" ht="21" customHeight="1">
      <x:c r="A11" t="str">
        <x:v>SI-003</x:v>
      </x:c>
      <x:c r="B11" s="10" t="n">
        <x:v>46148</x:v>
      </x:c>
      <x:c r="C11" t="str">
        <x:v>INV-2605-203</x:v>
      </x:c>
      <x:c r="D11" t="n">
        <x:v>4000</x:v>
      </x:c>
      <x:c r="E11" t="str">
        <x:v>Sales</x:v>
      </x:c>
      <x:c r="F11" t="str">
        <x:v>Customer services invoiced</x:v>
      </x:c>
      <x:c r="G11" s="26" t="n">
        <x:v>0</x:v>
      </x:c>
      <x:c r="H11" s="26" t="n">
        <x:v>7200</x:v>
      </x:c>
      <x:c r="I11" t="str">
        <x:v>POSTED</x:v>
      </x:c>
      <x:c r="J11" t="str">
        <x:f>IF(OR(D11=1000,D11=1100,COUNTIF(BUDGET!$A$6:$A$14,D11)&gt;0),"KNOWN","UNKNOWN")</x:f>
        <x:v>KNOWN</x:v>
      </x:c>
    </x:row>
    <x:row r="12" ht="21" customHeight="1">
      <x:c r="A12" t="str">
        <x:v>SI-004</x:v>
      </x:c>
      <x:c r="B12" s="10" t="n">
        <x:v>46150</x:v>
      </x:c>
      <x:c r="C12" t="str">
        <x:v>INV-2605-204</x:v>
      </x:c>
      <x:c r="D12" t="n">
        <x:v>1100</x:v>
      </x:c>
      <x:c r="E12" t="str">
        <x:v>Sales</x:v>
      </x:c>
      <x:c r="F12" t="str">
        <x:v>Customer services invoiced</x:v>
      </x:c>
      <x:c r="G12" s="26" t="n">
        <x:v>3900</x:v>
      </x:c>
      <x:c r="H12" s="26" t="n">
        <x:v>0</x:v>
      </x:c>
      <x:c r="I12" t="str">
        <x:v>POSTED</x:v>
      </x:c>
      <x:c r="J12" t="str">
        <x:f>IF(OR(D12=1000,D12=1100,COUNTIF(BUDGET!$A$6:$A$14,D12)&gt;0),"KNOWN","UNKNOWN")</x:f>
        <x:v>KNOWN</x:v>
      </x:c>
    </x:row>
    <x:row r="13" ht="21" customHeight="1">
      <x:c r="A13" t="str">
        <x:v>SI-004</x:v>
      </x:c>
      <x:c r="B13" s="10" t="n">
        <x:v>46150</x:v>
      </x:c>
      <x:c r="C13" t="str">
        <x:v>INV-2605-204</x:v>
      </x:c>
      <x:c r="D13" t="n">
        <x:v>4000</x:v>
      </x:c>
      <x:c r="E13" t="str">
        <x:v>Sales</x:v>
      </x:c>
      <x:c r="F13" t="str">
        <x:v>Customer services invoiced</x:v>
      </x:c>
      <x:c r="G13" s="26" t="n">
        <x:v>0</x:v>
      </x:c>
      <x:c r="H13" s="26" t="n">
        <x:v>3900</x:v>
      </x:c>
      <x:c r="I13" t="str">
        <x:v>POSTED</x:v>
      </x:c>
      <x:c r="J13" t="str">
        <x:f>IF(OR(D13=1000,D13=1100,COUNTIF(BUDGET!$A$6:$A$14,D13)&gt;0),"KNOWN","UNKNOWN")</x:f>
        <x:v>KNOWN</x:v>
      </x:c>
    </x:row>
    <x:row r="14" ht="21" customHeight="1">
      <x:c r="A14" t="str">
        <x:v>SI-005</x:v>
      </x:c>
      <x:c r="B14" s="10" t="n">
        <x:v>46152</x:v>
      </x:c>
      <x:c r="C14" t="str">
        <x:v>INV-2605-205</x:v>
      </x:c>
      <x:c r="D14" t="n">
        <x:v>1100</x:v>
      </x:c>
      <x:c r="E14" t="str">
        <x:v>Sales</x:v>
      </x:c>
      <x:c r="F14" t="str">
        <x:v>Customer services invoiced</x:v>
      </x:c>
      <x:c r="G14" s="26" t="n">
        <x:v>8200</x:v>
      </x:c>
      <x:c r="H14" s="26" t="n">
        <x:v>0</x:v>
      </x:c>
      <x:c r="I14" t="str">
        <x:v>POSTED</x:v>
      </x:c>
      <x:c r="J14" t="str">
        <x:f>IF(OR(D14=1000,D14=1100,COUNTIF(BUDGET!$A$6:$A$14,D14)&gt;0),"KNOWN","UNKNOWN")</x:f>
        <x:v>KNOWN</x:v>
      </x:c>
    </x:row>
    <x:row r="15" ht="21" customHeight="1">
      <x:c r="A15" t="str">
        <x:v>SI-005</x:v>
      </x:c>
      <x:c r="B15" s="10" t="n">
        <x:v>46152</x:v>
      </x:c>
      <x:c r="C15" t="str">
        <x:v>INV-2605-205</x:v>
      </x:c>
      <x:c r="D15" t="n">
        <x:v>4000</x:v>
      </x:c>
      <x:c r="E15" t="str">
        <x:v>Sales</x:v>
      </x:c>
      <x:c r="F15" t="str">
        <x:v>Customer services invoiced</x:v>
      </x:c>
      <x:c r="G15" s="26" t="n">
        <x:v>0</x:v>
      </x:c>
      <x:c r="H15" s="26" t="n">
        <x:v>8200</x:v>
      </x:c>
      <x:c r="I15" t="str">
        <x:v>POSTED</x:v>
      </x:c>
      <x:c r="J15" t="str">
        <x:f>IF(OR(D15=1000,D15=1100,COUNTIF(BUDGET!$A$6:$A$14,D15)&gt;0),"KNOWN","UNKNOWN")</x:f>
        <x:v>KNOWN</x:v>
      </x:c>
    </x:row>
    <x:row r="16" ht="21" customHeight="1">
      <x:c r="A16" t="str">
        <x:v>SI-006</x:v>
      </x:c>
      <x:c r="B16" s="10" t="n">
        <x:v>46154</x:v>
      </x:c>
      <x:c r="C16" t="str">
        <x:v>INV-2605-206</x:v>
      </x:c>
      <x:c r="D16" t="n">
        <x:v>1100</x:v>
      </x:c>
      <x:c r="E16" t="str">
        <x:v>Sales</x:v>
      </x:c>
      <x:c r="F16" t="str">
        <x:v>Customer services invoiced</x:v>
      </x:c>
      <x:c r="G16" s="26" t="n">
        <x:v>4550</x:v>
      </x:c>
      <x:c r="H16" s="26" t="n">
        <x:v>0</x:v>
      </x:c>
      <x:c r="I16" t="str">
        <x:v>POSTED</x:v>
      </x:c>
      <x:c r="J16" t="str">
        <x:f>IF(OR(D16=1000,D16=1100,COUNTIF(BUDGET!$A$6:$A$14,D16)&gt;0),"KNOWN","UNKNOWN")</x:f>
        <x:v>KNOWN</x:v>
      </x:c>
    </x:row>
    <x:row r="17" ht="21" customHeight="1">
      <x:c r="A17" t="str">
        <x:v>SI-006</x:v>
      </x:c>
      <x:c r="B17" s="10" t="n">
        <x:v>46154</x:v>
      </x:c>
      <x:c r="C17" t="str">
        <x:v>INV-2605-206</x:v>
      </x:c>
      <x:c r="D17" t="n">
        <x:v>4000</x:v>
      </x:c>
      <x:c r="E17" t="str">
        <x:v>Sales</x:v>
      </x:c>
      <x:c r="F17" t="str">
        <x:v>Customer services invoiced</x:v>
      </x:c>
      <x:c r="G17" s="26" t="n">
        <x:v>0</x:v>
      </x:c>
      <x:c r="H17" s="26" t="n">
        <x:v>4550</x:v>
      </x:c>
      <x:c r="I17" t="str">
        <x:v>POSTED</x:v>
      </x:c>
      <x:c r="J17" t="str">
        <x:f>IF(OR(D17=1000,D17=1100,COUNTIF(BUDGET!$A$6:$A$14,D17)&gt;0),"KNOWN","UNKNOWN")</x:f>
        <x:v>KNOWN</x:v>
      </x:c>
    </x:row>
    <x:row r="18" ht="21" customHeight="1">
      <x:c r="A18" t="str">
        <x:v>SI-007</x:v>
      </x:c>
      <x:c r="B18" s="10" t="n">
        <x:v>46156</x:v>
      </x:c>
      <x:c r="C18" t="str">
        <x:v>INV-2605-207</x:v>
      </x:c>
      <x:c r="D18" t="n">
        <x:v>1100</x:v>
      </x:c>
      <x:c r="E18" t="str">
        <x:v>Sales</x:v>
      </x:c>
      <x:c r="F18" t="str">
        <x:v>Customer services invoiced</x:v>
      </x:c>
      <x:c r="G18" s="26" t="n">
        <x:v>5100</x:v>
      </x:c>
      <x:c r="H18" s="26" t="n">
        <x:v>0</x:v>
      </x:c>
      <x:c r="I18" t="str">
        <x:v>POSTED</x:v>
      </x:c>
      <x:c r="J18" t="str">
        <x:f>IF(OR(D18=1000,D18=1100,COUNTIF(BUDGET!$A$6:$A$14,D18)&gt;0),"KNOWN","UNKNOWN")</x:f>
        <x:v>KNOWN</x:v>
      </x:c>
    </x:row>
    <x:row r="19" ht="21" customHeight="1">
      <x:c r="A19" t="str">
        <x:v>SI-007</x:v>
      </x:c>
      <x:c r="B19" s="10" t="n">
        <x:v>46156</x:v>
      </x:c>
      <x:c r="C19" t="str">
        <x:v>INV-2605-207</x:v>
      </x:c>
      <x:c r="D19" t="n">
        <x:v>4000</x:v>
      </x:c>
      <x:c r="E19" t="str">
        <x:v>Sales</x:v>
      </x:c>
      <x:c r="F19" t="str">
        <x:v>Customer services invoiced</x:v>
      </x:c>
      <x:c r="G19" s="26" t="n">
        <x:v>0</x:v>
      </x:c>
      <x:c r="H19" s="26" t="n">
        <x:v>5100</x:v>
      </x:c>
      <x:c r="I19" t="str">
        <x:v>POSTED</x:v>
      </x:c>
      <x:c r="J19" t="str">
        <x:f>IF(OR(D19=1000,D19=1100,COUNTIF(BUDGET!$A$6:$A$14,D19)&gt;0),"KNOWN","UNKNOWN")</x:f>
        <x:v>KNOWN</x:v>
      </x:c>
    </x:row>
    <x:row r="20" ht="21" customHeight="1">
      <x:c r="A20" t="str">
        <x:v>SI-008</x:v>
      </x:c>
      <x:c r="B20" s="10" t="n">
        <x:v>46158</x:v>
      </x:c>
      <x:c r="C20" t="str">
        <x:v>INV-2605-208</x:v>
      </x:c>
      <x:c r="D20" t="n">
        <x:v>1100</x:v>
      </x:c>
      <x:c r="E20" t="str">
        <x:v>Sales</x:v>
      </x:c>
      <x:c r="F20" t="str">
        <x:v>Customer services invoiced</x:v>
      </x:c>
      <x:c r="G20" s="26" t="n">
        <x:v>6700</x:v>
      </x:c>
      <x:c r="H20" s="26" t="n">
        <x:v>0</x:v>
      </x:c>
      <x:c r="I20" t="str">
        <x:v>POSTED</x:v>
      </x:c>
      <x:c r="J20" t="str">
        <x:f>IF(OR(D20=1000,D20=1100,COUNTIF(BUDGET!$A$6:$A$14,D20)&gt;0),"KNOWN","UNKNOWN")</x:f>
        <x:v>KNOWN</x:v>
      </x:c>
    </x:row>
    <x:row r="21" ht="21" customHeight="1">
      <x:c r="A21" t="str">
        <x:v>SI-008</x:v>
      </x:c>
      <x:c r="B21" s="10" t="n">
        <x:v>46158</x:v>
      </x:c>
      <x:c r="C21" t="str">
        <x:v>INV-2605-208</x:v>
      </x:c>
      <x:c r="D21" t="n">
        <x:v>4000</x:v>
      </x:c>
      <x:c r="E21" t="str">
        <x:v>Sales</x:v>
      </x:c>
      <x:c r="F21" t="str">
        <x:v>Customer services invoiced</x:v>
      </x:c>
      <x:c r="G21" s="26" t="n">
        <x:v>0</x:v>
      </x:c>
      <x:c r="H21" s="26" t="n">
        <x:v>6700</x:v>
      </x:c>
      <x:c r="I21" t="str">
        <x:v>POSTED</x:v>
      </x:c>
      <x:c r="J21" t="str">
        <x:f>IF(OR(D21=1000,D21=1100,COUNTIF(BUDGET!$A$6:$A$14,D21)&gt;0),"KNOWN","UNKNOWN")</x:f>
        <x:v>KNOWN</x:v>
      </x:c>
    </x:row>
    <x:row r="22" ht="21" customHeight="1">
      <x:c r="A22" t="str">
        <x:v>SI-009</x:v>
      </x:c>
      <x:c r="B22" s="10" t="n">
        <x:v>46160</x:v>
      </x:c>
      <x:c r="C22" t="str">
        <x:v>INV-2605-209</x:v>
      </x:c>
      <x:c r="D22" t="n">
        <x:v>1100</x:v>
      </x:c>
      <x:c r="E22" t="str">
        <x:v>Sales</x:v>
      </x:c>
      <x:c r="F22" t="str">
        <x:v>Customer services invoiced</x:v>
      </x:c>
      <x:c r="G22" s="26" t="n">
        <x:v>5900</x:v>
      </x:c>
      <x:c r="H22" s="26" t="n">
        <x:v>0</x:v>
      </x:c>
      <x:c r="I22" t="str">
        <x:v>POSTED</x:v>
      </x:c>
      <x:c r="J22" t="str">
        <x:f>IF(OR(D22=1000,D22=1100,COUNTIF(BUDGET!$A$6:$A$14,D22)&gt;0),"KNOWN","UNKNOWN")</x:f>
        <x:v>KNOWN</x:v>
      </x:c>
    </x:row>
    <x:row r="23" ht="21" customHeight="1">
      <x:c r="A23" t="str">
        <x:v>SI-009</x:v>
      </x:c>
      <x:c r="B23" s="10" t="n">
        <x:v>46160</x:v>
      </x:c>
      <x:c r="C23" t="str">
        <x:v>INV-2605-209</x:v>
      </x:c>
      <x:c r="D23" t="n">
        <x:v>4000</x:v>
      </x:c>
      <x:c r="E23" t="str">
        <x:v>Sales</x:v>
      </x:c>
      <x:c r="F23" t="str">
        <x:v>Customer services invoiced</x:v>
      </x:c>
      <x:c r="G23" s="26" t="n">
        <x:v>0</x:v>
      </x:c>
      <x:c r="H23" s="26" t="n">
        <x:v>5900</x:v>
      </x:c>
      <x:c r="I23" t="str">
        <x:v>POSTED</x:v>
      </x:c>
      <x:c r="J23" t="str">
        <x:f>IF(OR(D23=1000,D23=1100,COUNTIF(BUDGET!$A$6:$A$14,D23)&gt;0),"KNOWN","UNKNOWN")</x:f>
        <x:v>KNOWN</x:v>
      </x:c>
    </x:row>
    <x:row r="24" ht="21" customHeight="1">
      <x:c r="A24" t="str">
        <x:v>SI-010</x:v>
      </x:c>
      <x:c r="B24" s="10" t="n">
        <x:v>46162</x:v>
      </x:c>
      <x:c r="C24" t="str">
        <x:v>INV-2605-210</x:v>
      </x:c>
      <x:c r="D24" t="n">
        <x:v>1100</x:v>
      </x:c>
      <x:c r="E24" t="str">
        <x:v>Sales</x:v>
      </x:c>
      <x:c r="F24" t="str">
        <x:v>Customer services invoiced</x:v>
      </x:c>
      <x:c r="G24" s="26" t="n">
        <x:v>7350</x:v>
      </x:c>
      <x:c r="H24" s="26" t="n">
        <x:v>0</x:v>
      </x:c>
      <x:c r="I24" t="str">
        <x:v>POSTED</x:v>
      </x:c>
      <x:c r="J24" t="str">
        <x:f>IF(OR(D24=1000,D24=1100,COUNTIF(BUDGET!$A$6:$A$14,D24)&gt;0),"KNOWN","UNKNOWN")</x:f>
        <x:v>KNOWN</x:v>
      </x:c>
    </x:row>
    <x:row r="25" ht="21" customHeight="1">
      <x:c r="A25" t="str">
        <x:v>SI-010</x:v>
      </x:c>
      <x:c r="B25" s="10" t="n">
        <x:v>46162</x:v>
      </x:c>
      <x:c r="C25" t="str">
        <x:v>INV-2605-210</x:v>
      </x:c>
      <x:c r="D25" t="n">
        <x:v>4000</x:v>
      </x:c>
      <x:c r="E25" t="str">
        <x:v>Sales</x:v>
      </x:c>
      <x:c r="F25" t="str">
        <x:v>Customer services invoiced</x:v>
      </x:c>
      <x:c r="G25" s="26" t="n">
        <x:v>0</x:v>
      </x:c>
      <x:c r="H25" s="26" t="n">
        <x:v>7350</x:v>
      </x:c>
      <x:c r="I25" t="str">
        <x:v>POSTED</x:v>
      </x:c>
      <x:c r="J25" t="str">
        <x:f>IF(OR(D25=1000,D25=1100,COUNTIF(BUDGET!$A$6:$A$14,D25)&gt;0),"KNOWN","UNKNOWN")</x:f>
        <x:v>KNOWN</x:v>
      </x:c>
    </x:row>
    <x:row r="26" ht="21" customHeight="1">
      <x:c r="A26" t="str">
        <x:v>SI-011</x:v>
      </x:c>
      <x:c r="B26" s="10" t="n">
        <x:v>46164</x:v>
      </x:c>
      <x:c r="C26" t="str">
        <x:v>INV-2605-211</x:v>
      </x:c>
      <x:c r="D26" t="n">
        <x:v>1100</x:v>
      </x:c>
      <x:c r="E26" t="str">
        <x:v>Sales</x:v>
      </x:c>
      <x:c r="F26" t="str">
        <x:v>Customer services invoiced</x:v>
      </x:c>
      <x:c r="G26" s="26" t="n">
        <x:v>4800</x:v>
      </x:c>
      <x:c r="H26" s="26" t="n">
        <x:v>0</x:v>
      </x:c>
      <x:c r="I26" t="str">
        <x:v>POSTED</x:v>
      </x:c>
      <x:c r="J26" t="str">
        <x:f>IF(OR(D26=1000,D26=1100,COUNTIF(BUDGET!$A$6:$A$14,D26)&gt;0),"KNOWN","UNKNOWN")</x:f>
        <x:v>KNOWN</x:v>
      </x:c>
    </x:row>
    <x:row r="27" ht="21" customHeight="1">
      <x:c r="A27" t="str">
        <x:v>SI-011</x:v>
      </x:c>
      <x:c r="B27" s="10" t="n">
        <x:v>46164</x:v>
      </x:c>
      <x:c r="C27" t="str">
        <x:v>INV-2605-211</x:v>
      </x:c>
      <x:c r="D27" t="n">
        <x:v>4000</x:v>
      </x:c>
      <x:c r="E27" t="str">
        <x:v>Sales</x:v>
      </x:c>
      <x:c r="F27" t="str">
        <x:v>Customer services invoiced</x:v>
      </x:c>
      <x:c r="G27" s="26" t="n">
        <x:v>0</x:v>
      </x:c>
      <x:c r="H27" s="26" t="n">
        <x:v>4800</x:v>
      </x:c>
      <x:c r="I27" t="str">
        <x:v>POSTED</x:v>
      </x:c>
      <x:c r="J27" t="str">
        <x:f>IF(OR(D27=1000,D27=1100,COUNTIF(BUDGET!$A$6:$A$14,D27)&gt;0),"KNOWN","UNKNOWN")</x:f>
        <x:v>KNOWN</x:v>
      </x:c>
    </x:row>
    <x:row r="28" ht="21" customHeight="1">
      <x:c r="A28" t="str">
        <x:v>SI-012</x:v>
      </x:c>
      <x:c r="B28" s="10" t="n">
        <x:v>46166</x:v>
      </x:c>
      <x:c r="C28" t="str">
        <x:v>INV-2605-212</x:v>
      </x:c>
      <x:c r="D28" t="n">
        <x:v>1100</x:v>
      </x:c>
      <x:c r="E28" t="str">
        <x:v>Sales</x:v>
      </x:c>
      <x:c r="F28" t="str">
        <x:v>Customer services invoiced</x:v>
      </x:c>
      <x:c r="G28" s="26" t="n">
        <x:v>6200</x:v>
      </x:c>
      <x:c r="H28" s="26" t="n">
        <x:v>0</x:v>
      </x:c>
      <x:c r="I28" t="str">
        <x:v>POSTED</x:v>
      </x:c>
      <x:c r="J28" t="str">
        <x:f>IF(OR(D28=1000,D28=1100,COUNTIF(BUDGET!$A$6:$A$14,D28)&gt;0),"KNOWN","UNKNOWN")</x:f>
        <x:v>KNOWN</x:v>
      </x:c>
    </x:row>
    <x:row r="29" ht="21" customHeight="1">
      <x:c r="A29" t="str">
        <x:v>SI-012</x:v>
      </x:c>
      <x:c r="B29" s="10" t="n">
        <x:v>46166</x:v>
      </x:c>
      <x:c r="C29" t="str">
        <x:v>INV-2605-212</x:v>
      </x:c>
      <x:c r="D29" t="n">
        <x:v>4000</x:v>
      </x:c>
      <x:c r="E29" t="str">
        <x:v>Sales</x:v>
      </x:c>
      <x:c r="F29" t="str">
        <x:v>Customer services invoiced</x:v>
      </x:c>
      <x:c r="G29" s="26" t="n">
        <x:v>0</x:v>
      </x:c>
      <x:c r="H29" s="26" t="n">
        <x:v>6200</x:v>
      </x:c>
      <x:c r="I29" t="str">
        <x:v>POSTED</x:v>
      </x:c>
      <x:c r="J29" t="str">
        <x:f>IF(OR(D29=1000,D29=1100,COUNTIF(BUDGET!$A$6:$A$14,D29)&gt;0),"KNOWN","UNKNOWN")</x:f>
        <x:v>KNOWN</x:v>
      </x:c>
    </x:row>
    <x:row r="30" ht="21" customHeight="1">
      <x:c r="A30" t="str">
        <x:v>JR-REC-001</x:v>
      </x:c>
      <x:c r="B30" s="10" t="n">
        <x:v>46147</x:v>
      </x:c>
      <x:c r="C30" t="str">
        <x:v>REC-001</x:v>
      </x:c>
      <x:c r="D30" t="n">
        <x:v>1000</x:v>
      </x:c>
      <x:c r="E30" t="str">
        <x:v>Treasury</x:v>
      </x:c>
      <x:c r="F30" t="str">
        <x:v>Customer receipt INV-2603-101</x:v>
      </x:c>
      <x:c r="G30" s="26" t="n">
        <x:v>5400</x:v>
      </x:c>
      <x:c r="H30" s="26" t="n">
        <x:v>0</x:v>
      </x:c>
      <x:c r="I30" t="str">
        <x:v>POSTED</x:v>
      </x:c>
      <x:c r="J30" t="str">
        <x:f>IF(OR(D30=1000,D30=1100,COUNTIF(BUDGET!$A$6:$A$14,D30)&gt;0),"KNOWN","UNKNOWN")</x:f>
        <x:v>KNOWN</x:v>
      </x:c>
    </x:row>
    <x:row r="31" ht="21" customHeight="1">
      <x:c r="A31" t="str">
        <x:v>JR-REC-001</x:v>
      </x:c>
      <x:c r="B31" s="10" t="n">
        <x:v>46147</x:v>
      </x:c>
      <x:c r="C31" t="str">
        <x:v>REC-001</x:v>
      </x:c>
      <x:c r="D31" t="n">
        <x:v>1100</x:v>
      </x:c>
      <x:c r="E31" t="str">
        <x:v>Treasury</x:v>
      </x:c>
      <x:c r="F31" t="str">
        <x:v>Customer receipt INV-2603-101</x:v>
      </x:c>
      <x:c r="G31" s="26" t="n">
        <x:v>0</x:v>
      </x:c>
      <x:c r="H31" s="26" t="n">
        <x:v>5400</x:v>
      </x:c>
      <x:c r="I31" t="str">
        <x:v>POSTED</x:v>
      </x:c>
      <x:c r="J31" t="str">
        <x:f>IF(OR(D31=1000,D31=1100,COUNTIF(BUDGET!$A$6:$A$14,D31)&gt;0),"KNOWN","UNKNOWN")</x:f>
        <x:v>KNOWN</x:v>
      </x:c>
    </x:row>
    <x:row r="32" ht="21" customHeight="1">
      <x:c r="A32" t="str">
        <x:v>JR-REC-002</x:v>
      </x:c>
      <x:c r="B32" s="10" t="n">
        <x:v>46151</x:v>
      </x:c>
      <x:c r="C32" t="str">
        <x:v>REC-002</x:v>
      </x:c>
      <x:c r="D32" t="n">
        <x:v>1000</x:v>
      </x:c>
      <x:c r="E32" t="str">
        <x:v>Treasury</x:v>
      </x:c>
      <x:c r="F32" t="str">
        <x:v>Customer receipt INV-2604-102</x:v>
      </x:c>
      <x:c r="G32" s="26" t="n">
        <x:v>1300</x:v>
      </x:c>
      <x:c r="H32" s="26" t="n">
        <x:v>0</x:v>
      </x:c>
      <x:c r="I32" t="str">
        <x:v>POSTED</x:v>
      </x:c>
      <x:c r="J32" t="str">
        <x:f>IF(OR(D32=1000,D32=1100,COUNTIF(BUDGET!$A$6:$A$14,D32)&gt;0),"KNOWN","UNKNOWN")</x:f>
        <x:v>KNOWN</x:v>
      </x:c>
    </x:row>
    <x:row r="33" ht="21" customHeight="1">
      <x:c r="A33" t="str">
        <x:v>JR-REC-002</x:v>
      </x:c>
      <x:c r="B33" s="10" t="n">
        <x:v>46151</x:v>
      </x:c>
      <x:c r="C33" t="str">
        <x:v>REC-002</x:v>
      </x:c>
      <x:c r="D33" t="n">
        <x:v>1100</x:v>
      </x:c>
      <x:c r="E33" t="str">
        <x:v>Treasury</x:v>
      </x:c>
      <x:c r="F33" t="str">
        <x:v>Customer receipt INV-2604-102</x:v>
      </x:c>
      <x:c r="G33" s="26" t="n">
        <x:v>0</x:v>
      </x:c>
      <x:c r="H33" s="26" t="n">
        <x:v>1300</x:v>
      </x:c>
      <x:c r="I33" t="str">
        <x:v>POSTED</x:v>
      </x:c>
      <x:c r="J33" t="str">
        <x:f>IF(OR(D33=1000,D33=1100,COUNTIF(BUDGET!$A$6:$A$14,D33)&gt;0),"KNOWN","UNKNOWN")</x:f>
        <x:v>KNOWN</x:v>
      </x:c>
    </x:row>
    <x:row r="34" ht="21" customHeight="1">
      <x:c r="A34" t="str">
        <x:v>JR-REC-003</x:v>
      </x:c>
      <x:c r="B34" s="10" t="n">
        <x:v>46153</x:v>
      </x:c>
      <x:c r="C34" t="str">
        <x:v>REC-003</x:v>
      </x:c>
      <x:c r="D34" t="n">
        <x:v>1000</x:v>
      </x:c>
      <x:c r="E34" t="str">
        <x:v>Treasury</x:v>
      </x:c>
      <x:c r="F34" t="str">
        <x:v>Customer receipt INV-2604-103</x:v>
      </x:c>
      <x:c r="G34" s="26" t="n">
        <x:v>2100</x:v>
      </x:c>
      <x:c r="H34" s="26" t="n">
        <x:v>0</x:v>
      </x:c>
      <x:c r="I34" t="str">
        <x:v>POSTED</x:v>
      </x:c>
      <x:c r="J34" t="str">
        <x:f>IF(OR(D34=1000,D34=1100,COUNTIF(BUDGET!$A$6:$A$14,D34)&gt;0),"KNOWN","UNKNOWN")</x:f>
        <x:v>KNOWN</x:v>
      </x:c>
    </x:row>
    <x:row r="35" ht="21" customHeight="1">
      <x:c r="A35" t="str">
        <x:v>JR-REC-003</x:v>
      </x:c>
      <x:c r="B35" s="10" t="n">
        <x:v>46153</x:v>
      </x:c>
      <x:c r="C35" t="str">
        <x:v>REC-003</x:v>
      </x:c>
      <x:c r="D35" t="n">
        <x:v>1100</x:v>
      </x:c>
      <x:c r="E35" t="str">
        <x:v>Treasury</x:v>
      </x:c>
      <x:c r="F35" t="str">
        <x:v>Customer receipt INV-2604-103</x:v>
      </x:c>
      <x:c r="G35" s="26" t="n">
        <x:v>0</x:v>
      </x:c>
      <x:c r="H35" s="26" t="n">
        <x:v>2100</x:v>
      </x:c>
      <x:c r="I35" t="str">
        <x:v>POSTED</x:v>
      </x:c>
      <x:c r="J35" t="str">
        <x:f>IF(OR(D35=1000,D35=1100,COUNTIF(BUDGET!$A$6:$A$14,D35)&gt;0),"KNOWN","UNKNOWN")</x:f>
        <x:v>KNOWN</x:v>
      </x:c>
    </x:row>
    <x:row r="36" ht="21" customHeight="1">
      <x:c r="A36" t="str">
        <x:v>JR-REC-004</x:v>
      </x:c>
      <x:c r="B36" s="10" t="n">
        <x:v>46160</x:v>
      </x:c>
      <x:c r="C36" t="str">
        <x:v>REC-004</x:v>
      </x:c>
      <x:c r="D36" t="n">
        <x:v>1000</x:v>
      </x:c>
      <x:c r="E36" t="str">
        <x:v>Treasury</x:v>
      </x:c>
      <x:c r="F36" t="str">
        <x:v>Customer receipt INV-2604-104</x:v>
      </x:c>
      <x:c r="G36" s="26" t="n">
        <x:v>3100</x:v>
      </x:c>
      <x:c r="H36" s="26" t="n">
        <x:v>0</x:v>
      </x:c>
      <x:c r="I36" t="str">
        <x:v>POSTED</x:v>
      </x:c>
      <x:c r="J36" t="str">
        <x:f>IF(OR(D36=1000,D36=1100,COUNTIF(BUDGET!$A$6:$A$14,D36)&gt;0),"KNOWN","UNKNOWN")</x:f>
        <x:v>KNOWN</x:v>
      </x:c>
    </x:row>
    <x:row r="37" ht="21" customHeight="1">
      <x:c r="A37" t="str">
        <x:v>JR-REC-004</x:v>
      </x:c>
      <x:c r="B37" s="10" t="n">
        <x:v>46160</x:v>
      </x:c>
      <x:c r="C37" t="str">
        <x:v>REC-004</x:v>
      </x:c>
      <x:c r="D37" t="n">
        <x:v>1100</x:v>
      </x:c>
      <x:c r="E37" t="str">
        <x:v>Treasury</x:v>
      </x:c>
      <x:c r="F37" t="str">
        <x:v>Customer receipt INV-2604-104</x:v>
      </x:c>
      <x:c r="G37" s="26" t="n">
        <x:v>0</x:v>
      </x:c>
      <x:c r="H37" s="26" t="n">
        <x:v>3100</x:v>
      </x:c>
      <x:c r="I37" t="str">
        <x:v>POSTED</x:v>
      </x:c>
      <x:c r="J37" t="str">
        <x:f>IF(OR(D37=1000,D37=1100,COUNTIF(BUDGET!$A$6:$A$14,D37)&gt;0),"KNOWN","UNKNOWN")</x:f>
        <x:v>KNOWN</x:v>
      </x:c>
    </x:row>
    <x:row r="38" ht="21" customHeight="1">
      <x:c r="A38" t="str">
        <x:v>JR-REC-005</x:v>
      </x:c>
      <x:c r="B38" s="10" t="n">
        <x:v>46163</x:v>
      </x:c>
      <x:c r="C38" t="str">
        <x:v>REC-005</x:v>
      </x:c>
      <x:c r="D38" t="n">
        <x:v>1000</x:v>
      </x:c>
      <x:c r="E38" t="str">
        <x:v>Treasury</x:v>
      </x:c>
      <x:c r="F38" t="str">
        <x:v>Customer receipt INV-2604-105</x:v>
      </x:c>
      <x:c r="G38" s="26" t="n">
        <x:v>1650</x:v>
      </x:c>
      <x:c r="H38" s="26" t="n">
        <x:v>0</x:v>
      </x:c>
      <x:c r="I38" t="str">
        <x:v>POSTED</x:v>
      </x:c>
      <x:c r="J38" t="str">
        <x:f>IF(OR(D38=1000,D38=1100,COUNTIF(BUDGET!$A$6:$A$14,D38)&gt;0),"KNOWN","UNKNOWN")</x:f>
        <x:v>KNOWN</x:v>
      </x:c>
    </x:row>
    <x:row r="39" ht="21" customHeight="1">
      <x:c r="A39" t="str">
        <x:v>JR-REC-005</x:v>
      </x:c>
      <x:c r="B39" s="10" t="n">
        <x:v>46163</x:v>
      </x:c>
      <x:c r="C39" t="str">
        <x:v>REC-005</x:v>
      </x:c>
      <x:c r="D39" t="n">
        <x:v>1100</x:v>
      </x:c>
      <x:c r="E39" t="str">
        <x:v>Treasury</x:v>
      </x:c>
      <x:c r="F39" t="str">
        <x:v>Customer receipt INV-2604-105</x:v>
      </x:c>
      <x:c r="G39" s="26" t="n">
        <x:v>0</x:v>
      </x:c>
      <x:c r="H39" s="26" t="n">
        <x:v>1650</x:v>
      </x:c>
      <x:c r="I39" t="str">
        <x:v>POSTED</x:v>
      </x:c>
      <x:c r="J39" t="str">
        <x:f>IF(OR(D39=1000,D39=1100,COUNTIF(BUDGET!$A$6:$A$14,D39)&gt;0),"KNOWN","UNKNOWN")</x:f>
        <x:v>KNOWN</x:v>
      </x:c>
    </x:row>
    <x:row r="40" ht="21" customHeight="1">
      <x:c r="A40" t="str">
        <x:v>JR-REC-006</x:v>
      </x:c>
      <x:c r="B40" s="10" t="n">
        <x:v>46169</x:v>
      </x:c>
      <x:c r="C40" t="str">
        <x:v>REC-006</x:v>
      </x:c>
      <x:c r="D40" t="n">
        <x:v>1000</x:v>
      </x:c>
      <x:c r="E40" t="str">
        <x:v>Treasury</x:v>
      </x:c>
      <x:c r="F40" t="str">
        <x:v>Customer receipt INV-2604-106</x:v>
      </x:c>
      <x:c r="G40" s="26" t="n">
        <x:v>1400</x:v>
      </x:c>
      <x:c r="H40" s="26" t="n">
        <x:v>0</x:v>
      </x:c>
      <x:c r="I40" t="str">
        <x:v>POSTED</x:v>
      </x:c>
      <x:c r="J40" t="str">
        <x:f>IF(OR(D40=1000,D40=1100,COUNTIF(BUDGET!$A$6:$A$14,D40)&gt;0),"KNOWN","UNKNOWN")</x:f>
        <x:v>KNOWN</x:v>
      </x:c>
    </x:row>
    <x:row r="41" ht="21" customHeight="1">
      <x:c r="A41" t="str">
        <x:v>JR-REC-006</x:v>
      </x:c>
      <x:c r="B41" s="10" t="n">
        <x:v>46169</x:v>
      </x:c>
      <x:c r="C41" t="str">
        <x:v>REC-006</x:v>
      </x:c>
      <x:c r="D41" t="n">
        <x:v>1100</x:v>
      </x:c>
      <x:c r="E41" t="str">
        <x:v>Treasury</x:v>
      </x:c>
      <x:c r="F41" t="str">
        <x:v>Customer receipt INV-2604-106</x:v>
      </x:c>
      <x:c r="G41" s="26" t="n">
        <x:v>0</x:v>
      </x:c>
      <x:c r="H41" s="26" t="n">
        <x:v>1400</x:v>
      </x:c>
      <x:c r="I41" t="str">
        <x:v>POSTED</x:v>
      </x:c>
      <x:c r="J41" t="str">
        <x:f>IF(OR(D41=1000,D41=1100,COUNTIF(BUDGET!$A$6:$A$14,D41)&gt;0),"KNOWN","UNKNOWN")</x:f>
        <x:v>KNOWN</x:v>
      </x:c>
    </x:row>
    <x:row r="42" ht="21" customHeight="1">
      <x:c r="A42" t="str">
        <x:v>JR-REC-007</x:v>
      </x:c>
      <x:c r="B42" s="10" t="n">
        <x:v>46171</x:v>
      </x:c>
      <x:c r="C42" t="str">
        <x:v>REC-007</x:v>
      </x:c>
      <x:c r="D42" t="n">
        <x:v>1000</x:v>
      </x:c>
      <x:c r="E42" t="str">
        <x:v>Treasury</x:v>
      </x:c>
      <x:c r="F42" t="str">
        <x:v>Customer receipt INV-2604-107</x:v>
      </x:c>
      <x:c r="G42" s="26" t="n">
        <x:v>2900</x:v>
      </x:c>
      <x:c r="H42" s="26" t="n">
        <x:v>0</x:v>
      </x:c>
      <x:c r="I42" t="str">
        <x:v>POSTED</x:v>
      </x:c>
      <x:c r="J42" t="str">
        <x:f>IF(OR(D42=1000,D42=1100,COUNTIF(BUDGET!$A$6:$A$14,D42)&gt;0),"KNOWN","UNKNOWN")</x:f>
        <x:v>KNOWN</x:v>
      </x:c>
    </x:row>
    <x:row r="43" ht="21" customHeight="1">
      <x:c r="A43" t="str">
        <x:v>JR-REC-007</x:v>
      </x:c>
      <x:c r="B43" s="10" t="n">
        <x:v>46171</x:v>
      </x:c>
      <x:c r="C43" t="str">
        <x:v>REC-007</x:v>
      </x:c>
      <x:c r="D43" t="n">
        <x:v>1100</x:v>
      </x:c>
      <x:c r="E43" t="str">
        <x:v>Treasury</x:v>
      </x:c>
      <x:c r="F43" t="str">
        <x:v>Customer receipt INV-2604-107</x:v>
      </x:c>
      <x:c r="G43" s="26" t="n">
        <x:v>0</x:v>
      </x:c>
      <x:c r="H43" s="26" t="n">
        <x:v>2900</x:v>
      </x:c>
      <x:c r="I43" t="str">
        <x:v>POSTED</x:v>
      </x:c>
      <x:c r="J43" t="str">
        <x:f>IF(OR(D43=1000,D43=1100,COUNTIF(BUDGET!$A$6:$A$14,D43)&gt;0),"KNOWN","UNKNOWN")</x:f>
        <x:v>KNOWN</x:v>
      </x:c>
    </x:row>
    <x:row r="44" ht="21" customHeight="1">
      <x:c r="A44" t="str">
        <x:v>JR-REC-008</x:v>
      </x:c>
      <x:c r="B44" s="10" t="n">
        <x:v>46154</x:v>
      </x:c>
      <x:c r="C44" t="str">
        <x:v>REC-008</x:v>
      </x:c>
      <x:c r="D44" t="n">
        <x:v>1000</x:v>
      </x:c>
      <x:c r="E44" t="str">
        <x:v>Treasury</x:v>
      </x:c>
      <x:c r="F44" t="str">
        <x:v>Customer receipt INV-2605-201</x:v>
      </x:c>
      <x:c r="G44" s="26" t="n">
        <x:v>5750</x:v>
      </x:c>
      <x:c r="H44" s="26" t="n">
        <x:v>0</x:v>
      </x:c>
      <x:c r="I44" t="str">
        <x:v>POSTED</x:v>
      </x:c>
      <x:c r="J44" t="str">
        <x:f>IF(OR(D44=1000,D44=1100,COUNTIF(BUDGET!$A$6:$A$14,D44)&gt;0),"KNOWN","UNKNOWN")</x:f>
        <x:v>KNOWN</x:v>
      </x:c>
    </x:row>
    <x:row r="45" ht="21" customHeight="1">
      <x:c r="A45" t="str">
        <x:v>JR-REC-008</x:v>
      </x:c>
      <x:c r="B45" s="10" t="n">
        <x:v>46154</x:v>
      </x:c>
      <x:c r="C45" t="str">
        <x:v>REC-008</x:v>
      </x:c>
      <x:c r="D45" t="n">
        <x:v>1100</x:v>
      </x:c>
      <x:c r="E45" t="str">
        <x:v>Treasury</x:v>
      </x:c>
      <x:c r="F45" t="str">
        <x:v>Customer receipt INV-2605-201</x:v>
      </x:c>
      <x:c r="G45" s="26" t="n">
        <x:v>0</x:v>
      </x:c>
      <x:c r="H45" s="26" t="n">
        <x:v>5750</x:v>
      </x:c>
      <x:c r="I45" t="str">
        <x:v>POSTED</x:v>
      </x:c>
      <x:c r="J45" t="str">
        <x:f>IF(OR(D45=1000,D45=1100,COUNTIF(BUDGET!$A$6:$A$14,D45)&gt;0),"KNOWN","UNKNOWN")</x:f>
        <x:v>KNOWN</x:v>
      </x:c>
    </x:row>
    <x:row r="46" ht="21" customHeight="1">
      <x:c r="A46" t="str">
        <x:v>JR-REC-009</x:v>
      </x:c>
      <x:c r="B46" s="10" t="n">
        <x:v>46160</x:v>
      </x:c>
      <x:c r="C46" t="str">
        <x:v>REC-009</x:v>
      </x:c>
      <x:c r="D46" t="n">
        <x:v>1000</x:v>
      </x:c>
      <x:c r="E46" t="str">
        <x:v>Treasury</x:v>
      </x:c>
      <x:c r="F46" t="str">
        <x:v>Customer receipt INV-2605-202</x:v>
      </x:c>
      <x:c r="G46" s="26" t="n">
        <x:v>3000</x:v>
      </x:c>
      <x:c r="H46" s="26" t="n">
        <x:v>0</x:v>
      </x:c>
      <x:c r="I46" t="str">
        <x:v>POSTED</x:v>
      </x:c>
      <x:c r="J46" t="str">
        <x:f>IF(OR(D46=1000,D46=1100,COUNTIF(BUDGET!$A$6:$A$14,D46)&gt;0),"KNOWN","UNKNOWN")</x:f>
        <x:v>KNOWN</x:v>
      </x:c>
    </x:row>
    <x:row r="47" ht="21" customHeight="1">
      <x:c r="A47" t="str">
        <x:v>JR-REC-009</x:v>
      </x:c>
      <x:c r="B47" s="10" t="n">
        <x:v>46160</x:v>
      </x:c>
      <x:c r="C47" t="str">
        <x:v>REC-009</x:v>
      </x:c>
      <x:c r="D47" t="n">
        <x:v>1100</x:v>
      </x:c>
      <x:c r="E47" t="str">
        <x:v>Treasury</x:v>
      </x:c>
      <x:c r="F47" t="str">
        <x:v>Customer receipt INV-2605-202</x:v>
      </x:c>
      <x:c r="G47" s="26" t="n">
        <x:v>0</x:v>
      </x:c>
      <x:c r="H47" s="26" t="n">
        <x:v>3000</x:v>
      </x:c>
      <x:c r="I47" t="str">
        <x:v>POSTED</x:v>
      </x:c>
      <x:c r="J47" t="str">
        <x:f>IF(OR(D47=1000,D47=1100,COUNTIF(BUDGET!$A$6:$A$14,D47)&gt;0),"KNOWN","UNKNOWN")</x:f>
        <x:v>KNOWN</x:v>
      </x:c>
    </x:row>
    <x:row r="48" ht="21" customHeight="1">
      <x:c r="A48" t="str">
        <x:v>JR-REC-010</x:v>
      </x:c>
      <x:c r="B48" s="10" t="n">
        <x:v>46166</x:v>
      </x:c>
      <x:c r="C48" t="str">
        <x:v>REC-010</x:v>
      </x:c>
      <x:c r="D48" t="n">
        <x:v>1000</x:v>
      </x:c>
      <x:c r="E48" t="str">
        <x:v>Treasury</x:v>
      </x:c>
      <x:c r="F48" t="str">
        <x:v>Customer receipt INV-2605-203</x:v>
      </x:c>
      <x:c r="G48" s="26" t="n">
        <x:v>7200</x:v>
      </x:c>
      <x:c r="H48" s="26" t="n">
        <x:v>0</x:v>
      </x:c>
      <x:c r="I48" t="str">
        <x:v>POSTED</x:v>
      </x:c>
      <x:c r="J48" t="str">
        <x:f>IF(OR(D48=1000,D48=1100,COUNTIF(BUDGET!$A$6:$A$14,D48)&gt;0),"KNOWN","UNKNOWN")</x:f>
        <x:v>KNOWN</x:v>
      </x:c>
    </x:row>
    <x:row r="49" ht="21" customHeight="1">
      <x:c r="A49" t="str">
        <x:v>JR-REC-010</x:v>
      </x:c>
      <x:c r="B49" s="10" t="n">
        <x:v>46166</x:v>
      </x:c>
      <x:c r="C49" t="str">
        <x:v>REC-010</x:v>
      </x:c>
      <x:c r="D49" t="n">
        <x:v>1100</x:v>
      </x:c>
      <x:c r="E49" t="str">
        <x:v>Treasury</x:v>
      </x:c>
      <x:c r="F49" t="str">
        <x:v>Customer receipt INV-2605-203</x:v>
      </x:c>
      <x:c r="G49" s="26" t="n">
        <x:v>0</x:v>
      </x:c>
      <x:c r="H49" s="26" t="n">
        <x:v>7200</x:v>
      </x:c>
      <x:c r="I49" t="str">
        <x:v>POSTED</x:v>
      </x:c>
      <x:c r="J49" t="str">
        <x:f>IF(OR(D49=1000,D49=1100,COUNTIF(BUDGET!$A$6:$A$14,D49)&gt;0),"KNOWN","UNKNOWN")</x:f>
        <x:v>KNOWN</x:v>
      </x:c>
    </x:row>
    <x:row r="50" ht="21" customHeight="1">
      <x:c r="A50" t="str">
        <x:v>JR-REC-011</x:v>
      </x:c>
      <x:c r="B50" s="10" t="n">
        <x:v>46169</x:v>
      </x:c>
      <x:c r="C50" t="str">
        <x:v>REC-011</x:v>
      </x:c>
      <x:c r="D50" t="n">
        <x:v>1000</x:v>
      </x:c>
      <x:c r="E50" t="str">
        <x:v>Treasury</x:v>
      </x:c>
      <x:c r="F50" t="str">
        <x:v>Customer receipt INV-2605-204</x:v>
      </x:c>
      <x:c r="G50" s="26" t="n">
        <x:v>3900</x:v>
      </x:c>
      <x:c r="H50" s="26" t="n">
        <x:v>0</x:v>
      </x:c>
      <x:c r="I50" t="str">
        <x:v>POSTED</x:v>
      </x:c>
      <x:c r="J50" t="str">
        <x:f>IF(OR(D50=1000,D50=1100,COUNTIF(BUDGET!$A$6:$A$14,D50)&gt;0),"KNOWN","UNKNOWN")</x:f>
        <x:v>KNOWN</x:v>
      </x:c>
    </x:row>
    <x:row r="51" ht="21" customHeight="1">
      <x:c r="A51" t="str">
        <x:v>JR-REC-011</x:v>
      </x:c>
      <x:c r="B51" s="10" t="n">
        <x:v>46169</x:v>
      </x:c>
      <x:c r="C51" t="str">
        <x:v>REC-011</x:v>
      </x:c>
      <x:c r="D51" t="n">
        <x:v>1100</x:v>
      </x:c>
      <x:c r="E51" t="str">
        <x:v>Treasury</x:v>
      </x:c>
      <x:c r="F51" t="str">
        <x:v>Customer receipt INV-2605-204</x:v>
      </x:c>
      <x:c r="G51" s="26" t="n">
        <x:v>0</x:v>
      </x:c>
      <x:c r="H51" s="26" t="n">
        <x:v>3900</x:v>
      </x:c>
      <x:c r="I51" t="str">
        <x:v>POSTED</x:v>
      </x:c>
      <x:c r="J51" t="str">
        <x:f>IF(OR(D51=1000,D51=1100,COUNTIF(BUDGET!$A$6:$A$14,D51)&gt;0),"KNOWN","UNKNOWN")</x:f>
        <x:v>KNOWN</x:v>
      </x:c>
    </x:row>
    <x:row r="52" ht="21" customHeight="1">
      <x:c r="A52" t="str">
        <x:v>JR-REC-012</x:v>
      </x:c>
      <x:c r="B52" s="10" t="n">
        <x:v>46171</x:v>
      </x:c>
      <x:c r="C52" t="str">
        <x:v>REC-012</x:v>
      </x:c>
      <x:c r="D52" t="n">
        <x:v>1000</x:v>
      </x:c>
      <x:c r="E52" t="str">
        <x:v>Treasury</x:v>
      </x:c>
      <x:c r="F52" t="str">
        <x:v>Customer receipt INV-2605-205</x:v>
      </x:c>
      <x:c r="G52" s="26" t="n">
        <x:v>4800</x:v>
      </x:c>
      <x:c r="H52" s="26" t="n">
        <x:v>0</x:v>
      </x:c>
      <x:c r="I52" t="str">
        <x:v>POSTED</x:v>
      </x:c>
      <x:c r="J52" t="str">
        <x:f>IF(OR(D52=1000,D52=1100,COUNTIF(BUDGET!$A$6:$A$14,D52)&gt;0),"KNOWN","UNKNOWN")</x:f>
        <x:v>KNOWN</x:v>
      </x:c>
    </x:row>
    <x:row r="53" ht="21" customHeight="1">
      <x:c r="A53" t="str">
        <x:v>JR-REC-012</x:v>
      </x:c>
      <x:c r="B53" s="10" t="n">
        <x:v>46171</x:v>
      </x:c>
      <x:c r="C53" t="str">
        <x:v>REC-012</x:v>
      </x:c>
      <x:c r="D53" t="n">
        <x:v>1100</x:v>
      </x:c>
      <x:c r="E53" t="str">
        <x:v>Treasury</x:v>
      </x:c>
      <x:c r="F53" t="str">
        <x:v>Customer receipt INV-2605-205</x:v>
      </x:c>
      <x:c r="G53" s="26" t="n">
        <x:v>0</x:v>
      </x:c>
      <x:c r="H53" s="26" t="n">
        <x:v>4800</x:v>
      </x:c>
      <x:c r="I53" t="str">
        <x:v>POSTED</x:v>
      </x:c>
      <x:c r="J53" t="str">
        <x:f>IF(OR(D53=1000,D53=1100,COUNTIF(BUDGET!$A$6:$A$14,D53)&gt;0),"KNOWN","UNKNOWN")</x:f>
        <x:v>KNOWN</x:v>
      </x:c>
    </x:row>
    <x:row r="54" ht="21" customHeight="1">
      <x:c r="A54" t="str">
        <x:v>JR-REC-013</x:v>
      </x:c>
      <x:c r="B54" s="10" t="n">
        <x:v>46172</x:v>
      </x:c>
      <x:c r="C54" t="str">
        <x:v>REC-013</x:v>
      </x:c>
      <x:c r="D54" t="n">
        <x:v>1000</x:v>
      </x:c>
      <x:c r="E54" t="str">
        <x:v>Treasury</x:v>
      </x:c>
      <x:c r="F54" t="str">
        <x:v>Customer receipt INV-2605-206</x:v>
      </x:c>
      <x:c r="G54" s="26" t="n">
        <x:v>2000</x:v>
      </x:c>
      <x:c r="H54" s="26" t="n">
        <x:v>0</x:v>
      </x:c>
      <x:c r="I54" t="str">
        <x:v>POSTED</x:v>
      </x:c>
      <x:c r="J54" t="str">
        <x:f>IF(OR(D54=1000,D54=1100,COUNTIF(BUDGET!$A$6:$A$14,D54)&gt;0),"KNOWN","UNKNOWN")</x:f>
        <x:v>KNOWN</x:v>
      </x:c>
    </x:row>
    <x:row r="55" ht="21" customHeight="1">
      <x:c r="A55" t="str">
        <x:v>JR-REC-013</x:v>
      </x:c>
      <x:c r="B55" s="10" t="n">
        <x:v>46172</x:v>
      </x:c>
      <x:c r="C55" t="str">
        <x:v>REC-013</x:v>
      </x:c>
      <x:c r="D55" t="n">
        <x:v>1100</x:v>
      </x:c>
      <x:c r="E55" t="str">
        <x:v>Treasury</x:v>
      </x:c>
      <x:c r="F55" t="str">
        <x:v>Customer receipt INV-2605-206</x:v>
      </x:c>
      <x:c r="G55" s="26" t="n">
        <x:v>0</x:v>
      </x:c>
      <x:c r="H55" s="26" t="n">
        <x:v>2000</x:v>
      </x:c>
      <x:c r="I55" t="str">
        <x:v>POSTED</x:v>
      </x:c>
      <x:c r="J55" t="str">
        <x:f>IF(OR(D55=1000,D55=1100,COUNTIF(BUDGET!$A$6:$A$14,D55)&gt;0),"KNOWN","UNKNOWN")</x:f>
        <x:v>KNOWN</x:v>
      </x:c>
    </x:row>
    <x:row r="56" ht="21" customHeight="1">
      <x:c r="A56" t="str">
        <x:v>JR-REC-014</x:v>
      </x:c>
      <x:c r="B56" s="10" t="n">
        <x:v>46173</x:v>
      </x:c>
      <x:c r="C56" t="str">
        <x:v>REC-014</x:v>
      </x:c>
      <x:c r="D56" t="n">
        <x:v>1000</x:v>
      </x:c>
      <x:c r="E56" t="str">
        <x:v>Treasury</x:v>
      </x:c>
      <x:c r="F56" t="str">
        <x:v>Customer receipt INV-2605-207</x:v>
      </x:c>
      <x:c r="G56" s="26" t="n">
        <x:v>4550</x:v>
      </x:c>
      <x:c r="H56" s="26" t="n">
        <x:v>0</x:v>
      </x:c>
      <x:c r="I56" t="str">
        <x:v>POSTED</x:v>
      </x:c>
      <x:c r="J56" t="str">
        <x:f>IF(OR(D56=1000,D56=1100,COUNTIF(BUDGET!$A$6:$A$14,D56)&gt;0),"KNOWN","UNKNOWN")</x:f>
        <x:v>KNOWN</x:v>
      </x:c>
    </x:row>
    <x:row r="57" ht="21" customHeight="1">
      <x:c r="A57" t="str">
        <x:v>JR-REC-014</x:v>
      </x:c>
      <x:c r="B57" s="10" t="n">
        <x:v>46173</x:v>
      </x:c>
      <x:c r="C57" t="str">
        <x:v>REC-014</x:v>
      </x:c>
      <x:c r="D57" t="n">
        <x:v>1100</x:v>
      </x:c>
      <x:c r="E57" t="str">
        <x:v>Treasury</x:v>
      </x:c>
      <x:c r="F57" t="str">
        <x:v>Customer receipt INV-2605-207</x:v>
      </x:c>
      <x:c r="G57" s="26" t="n">
        <x:v>0</x:v>
      </x:c>
      <x:c r="H57" s="26" t="n">
        <x:v>4550</x:v>
      </x:c>
      <x:c r="I57" t="str">
        <x:v>POSTED</x:v>
      </x:c>
      <x:c r="J57" t="str">
        <x:f>IF(OR(D57=1000,D57=1100,COUNTIF(BUDGET!$A$6:$A$14,D57)&gt;0),"KNOWN","UNKNOWN")</x:f>
        <x:v>KNOWN</x:v>
      </x:c>
    </x:row>
    <x:row r="58" ht="21" customHeight="1">
      <x:c r="A58" t="str">
        <x:v>JR-CN-001</x:v>
      </x:c>
      <x:c r="B58" s="10" t="n">
        <x:v>46165</x:v>
      </x:c>
      <x:c r="C58" t="str">
        <x:v>CN-001</x:v>
      </x:c>
      <x:c r="D58" t="n">
        <x:v>4000</x:v>
      </x:c>
      <x:c r="E58" t="str">
        <x:v>Sales</x:v>
      </x:c>
      <x:c r="F58" t="str">
        <x:v>Approved service credit INV-2604-102</x:v>
      </x:c>
      <x:c r="G58" s="26" t="n">
        <x:v>180</x:v>
      </x:c>
      <x:c r="H58" s="26" t="n">
        <x:v>0</x:v>
      </x:c>
      <x:c r="I58" t="str">
        <x:v>POSTED</x:v>
      </x:c>
      <x:c r="J58" t="str">
        <x:f>IF(OR(D58=1000,D58=1100,COUNTIF(BUDGET!$A$6:$A$14,D58)&gt;0),"KNOWN","UNKNOWN")</x:f>
        <x:v>KNOWN</x:v>
      </x:c>
    </x:row>
    <x:row r="59" ht="21" customHeight="1">
      <x:c r="A59" t="str">
        <x:v>JR-CN-001</x:v>
      </x:c>
      <x:c r="B59" s="10" t="n">
        <x:v>46165</x:v>
      </x:c>
      <x:c r="C59" t="str">
        <x:v>CN-001</x:v>
      </x:c>
      <x:c r="D59" t="n">
        <x:v>1100</x:v>
      </x:c>
      <x:c r="E59" t="str">
        <x:v>Sales</x:v>
      </x:c>
      <x:c r="F59" t="str">
        <x:v>Approved service credit INV-2604-102</x:v>
      </x:c>
      <x:c r="G59" s="26" t="n">
        <x:v>0</x:v>
      </x:c>
      <x:c r="H59" s="26" t="n">
        <x:v>180</x:v>
      </x:c>
      <x:c r="I59" t="str">
        <x:v>POSTED</x:v>
      </x:c>
      <x:c r="J59" t="str">
        <x:f>IF(OR(D59=1000,D59=1100,COUNTIF(BUDGET!$A$6:$A$14,D59)&gt;0),"KNOWN","UNKNOWN")</x:f>
        <x:v>KNOWN</x:v>
      </x:c>
    </x:row>
    <x:row r="60" ht="21" customHeight="1">
      <x:c r="A60" t="str">
        <x:v>JR-PAY-001</x:v>
      </x:c>
      <x:c r="B60" s="10" t="n">
        <x:v>46146</x:v>
      </x:c>
      <x:c r="C60" t="str">
        <x:v>PAY-001</x:v>
      </x:c>
      <x:c r="D60" t="n">
        <x:v>5000</x:v>
      </x:c>
      <x:c r="E60" t="str">
        <x:v>Operations</x:v>
      </x:c>
      <x:c r="F60" t="str">
        <x:v>Delivery vendor invoices</x:v>
      </x:c>
      <x:c r="G60" s="26" t="n">
        <x:v>4400</x:v>
      </x:c>
      <x:c r="H60" s="26" t="n">
        <x:v>0</x:v>
      </x:c>
      <x:c r="I60" t="str">
        <x:v>POSTED</x:v>
      </x:c>
      <x:c r="J60" t="str">
        <x:f>IF(OR(D60=1000,D60=1100,COUNTIF(BUDGET!$A$6:$A$14,D60)&gt;0),"KNOWN","UNKNOWN")</x:f>
        <x:v>KNOWN</x:v>
      </x:c>
    </x:row>
    <x:row r="61" ht="21" customHeight="1">
      <x:c r="A61" t="str">
        <x:v>JR-PAY-001</x:v>
      </x:c>
      <x:c r="B61" s="10" t="n">
        <x:v>46146</x:v>
      </x:c>
      <x:c r="C61" t="str">
        <x:v>PAY-001</x:v>
      </x:c>
      <x:c r="D61" t="n">
        <x:v>1000</x:v>
      </x:c>
      <x:c r="E61" t="str">
        <x:v>Operations</x:v>
      </x:c>
      <x:c r="F61" t="str">
        <x:v>Delivery vendor invoices</x:v>
      </x:c>
      <x:c r="G61" s="26" t="n">
        <x:v>0</x:v>
      </x:c>
      <x:c r="H61" s="26" t="n">
        <x:v>4400</x:v>
      </x:c>
      <x:c r="I61" t="str">
        <x:v>POSTED</x:v>
      </x:c>
      <x:c r="J61" t="str">
        <x:f>IF(OR(D61=1000,D61=1100,COUNTIF(BUDGET!$A$6:$A$14,D61)&gt;0),"KNOWN","UNKNOWN")</x:f>
        <x:v>KNOWN</x:v>
      </x:c>
    </x:row>
    <x:row r="62" ht="21" customHeight="1">
      <x:c r="A62" t="str">
        <x:v>JR-PAY-002</x:v>
      </x:c>
      <x:c r="B62" s="10" t="n">
        <x:v>46147</x:v>
      </x:c>
      <x:c r="C62" t="str">
        <x:v>PAY-002</x:v>
      </x:c>
      <x:c r="D62" t="n">
        <x:v>6100</x:v>
      </x:c>
      <x:c r="E62" t="str">
        <x:v>Administration</x:v>
      </x:c>
      <x:c r="F62" t="str">
        <x:v>Payroll - admin</x:v>
      </x:c>
      <x:c r="G62" s="26" t="n">
        <x:v>5200</x:v>
      </x:c>
      <x:c r="H62" s="26" t="n">
        <x:v>0</x:v>
      </x:c>
      <x:c r="I62" t="str">
        <x:v>POSTED</x:v>
      </x:c>
      <x:c r="J62" t="str">
        <x:f>IF(OR(D62=1000,D62=1100,COUNTIF(BUDGET!$A$6:$A$14,D62)&gt;0),"KNOWN","UNKNOWN")</x:f>
        <x:v>KNOWN</x:v>
      </x:c>
    </x:row>
    <x:row r="63" ht="21" customHeight="1">
      <x:c r="A63" t="str">
        <x:v>JR-PAY-002</x:v>
      </x:c>
      <x:c r="B63" s="10" t="n">
        <x:v>46147</x:v>
      </x:c>
      <x:c r="C63" t="str">
        <x:v>PAY-002</x:v>
      </x:c>
      <x:c r="D63" t="n">
        <x:v>1000</x:v>
      </x:c>
      <x:c r="E63" t="str">
        <x:v>Administration</x:v>
      </x:c>
      <x:c r="F63" t="str">
        <x:v>Payroll - admin</x:v>
      </x:c>
      <x:c r="G63" s="26" t="n">
        <x:v>0</x:v>
      </x:c>
      <x:c r="H63" s="26" t="n">
        <x:v>5200</x:v>
      </x:c>
      <x:c r="I63" t="str">
        <x:v>POSTED</x:v>
      </x:c>
      <x:c r="J63" t="str">
        <x:f>IF(OR(D63=1000,D63=1100,COUNTIF(BUDGET!$A$6:$A$14,D63)&gt;0),"KNOWN","UNKNOWN")</x:f>
        <x:v>KNOWN</x:v>
      </x:c>
    </x:row>
    <x:row r="64" ht="21" customHeight="1">
      <x:c r="A64" t="str">
        <x:v>JR-PAY-003</x:v>
      </x:c>
      <x:c r="B64" s="10" t="n">
        <x:v>46148</x:v>
      </x:c>
      <x:c r="C64" t="str">
        <x:v>PAY-003</x:v>
      </x:c>
      <x:c r="D64" t="n">
        <x:v>6100</x:v>
      </x:c>
      <x:c r="E64" t="str">
        <x:v>Operations</x:v>
      </x:c>
      <x:c r="F64" t="str">
        <x:v>Payroll - operations</x:v>
      </x:c>
      <x:c r="G64" s="26" t="n">
        <x:v>7100</x:v>
      </x:c>
      <x:c r="H64" s="26" t="n">
        <x:v>0</x:v>
      </x:c>
      <x:c r="I64" t="str">
        <x:v>POSTED</x:v>
      </x:c>
      <x:c r="J64" t="str">
        <x:f>IF(OR(D64=1000,D64=1100,COUNTIF(BUDGET!$A$6:$A$14,D64)&gt;0),"KNOWN","UNKNOWN")</x:f>
        <x:v>KNOWN</x:v>
      </x:c>
    </x:row>
    <x:row r="65" ht="21" customHeight="1">
      <x:c r="A65" t="str">
        <x:v>JR-PAY-003</x:v>
      </x:c>
      <x:c r="B65" s="10" t="n">
        <x:v>46148</x:v>
      </x:c>
      <x:c r="C65" t="str">
        <x:v>PAY-003</x:v>
      </x:c>
      <x:c r="D65" t="n">
        <x:v>1000</x:v>
      </x:c>
      <x:c r="E65" t="str">
        <x:v>Operations</x:v>
      </x:c>
      <x:c r="F65" t="str">
        <x:v>Payroll - operations</x:v>
      </x:c>
      <x:c r="G65" s="26" t="n">
        <x:v>0</x:v>
      </x:c>
      <x:c r="H65" s="26" t="n">
        <x:v>7100</x:v>
      </x:c>
      <x:c r="I65" t="str">
        <x:v>POSTED</x:v>
      </x:c>
      <x:c r="J65" t="str">
        <x:f>IF(OR(D65=1000,D65=1100,COUNTIF(BUDGET!$A$6:$A$14,D65)&gt;0),"KNOWN","UNKNOWN")</x:f>
        <x:v>KNOWN</x:v>
      </x:c>
    </x:row>
    <x:row r="66" ht="21" customHeight="1">
      <x:c r="A66" t="str">
        <x:v>JR-PAY-004</x:v>
      </x:c>
      <x:c r="B66" s="10" t="n">
        <x:v>46149</x:v>
      </x:c>
      <x:c r="C66" t="str">
        <x:v>PAY-004</x:v>
      </x:c>
      <x:c r="D66" t="n">
        <x:v>6200</x:v>
      </x:c>
      <x:c r="E66" t="str">
        <x:v>Administration</x:v>
      </x:c>
      <x:c r="F66" t="str">
        <x:v>Office rent</x:v>
      </x:c>
      <x:c r="G66" s="26" t="n">
        <x:v>2350</x:v>
      </x:c>
      <x:c r="H66" s="26" t="n">
        <x:v>0</x:v>
      </x:c>
      <x:c r="I66" t="str">
        <x:v>POSTED</x:v>
      </x:c>
      <x:c r="J66" t="str">
        <x:f>IF(OR(D66=1000,D66=1100,COUNTIF(BUDGET!$A$6:$A$14,D66)&gt;0),"KNOWN","UNKNOWN")</x:f>
        <x:v>KNOWN</x:v>
      </x:c>
    </x:row>
    <x:row r="67" ht="21" customHeight="1">
      <x:c r="A67" t="str">
        <x:v>JR-PAY-004</x:v>
      </x:c>
      <x:c r="B67" s="10" t="n">
        <x:v>46149</x:v>
      </x:c>
      <x:c r="C67" t="str">
        <x:v>PAY-004</x:v>
      </x:c>
      <x:c r="D67" t="n">
        <x:v>1000</x:v>
      </x:c>
      <x:c r="E67" t="str">
        <x:v>Administration</x:v>
      </x:c>
      <x:c r="F67" t="str">
        <x:v>Office rent</x:v>
      </x:c>
      <x:c r="G67" s="26" t="n">
        <x:v>0</x:v>
      </x:c>
      <x:c r="H67" s="26" t="n">
        <x:v>2350</x:v>
      </x:c>
      <x:c r="I67" t="str">
        <x:v>POSTED</x:v>
      </x:c>
      <x:c r="J67" t="str">
        <x:f>IF(OR(D67=1000,D67=1100,COUNTIF(BUDGET!$A$6:$A$14,D67)&gt;0),"KNOWN","UNKNOWN")</x:f>
        <x:v>KNOWN</x:v>
      </x:c>
    </x:row>
    <x:row r="68" ht="21" customHeight="1">
      <x:c r="A68" t="str">
        <x:v>JR-PAY-005</x:v>
      </x:c>
      <x:c r="B68" s="10" t="n">
        <x:v>46150</x:v>
      </x:c>
      <x:c r="C68" t="str">
        <x:v>PAY-005</x:v>
      </x:c>
      <x:c r="D68" t="n">
        <x:v>6400</x:v>
      </x:c>
      <x:c r="E68" t="str">
        <x:v>Administration</x:v>
      </x:c>
      <x:c r="F68" t="str">
        <x:v>ERP licences</x:v>
      </x:c>
      <x:c r="G68" s="26" t="n">
        <x:v>850</x:v>
      </x:c>
      <x:c r="H68" s="26" t="n">
        <x:v>0</x:v>
      </x:c>
      <x:c r="I68" t="str">
        <x:v>POSTED</x:v>
      </x:c>
      <x:c r="J68" t="str">
        <x:f>IF(OR(D68=1000,D68=1100,COUNTIF(BUDGET!$A$6:$A$14,D68)&gt;0),"KNOWN","UNKNOWN")</x:f>
        <x:v>KNOWN</x:v>
      </x:c>
    </x:row>
    <x:row r="69" ht="21" customHeight="1">
      <x:c r="A69" t="str">
        <x:v>JR-PAY-005</x:v>
      </x:c>
      <x:c r="B69" s="10" t="n">
        <x:v>46150</x:v>
      </x:c>
      <x:c r="C69" t="str">
        <x:v>PAY-005</x:v>
      </x:c>
      <x:c r="D69" t="n">
        <x:v>1000</x:v>
      </x:c>
      <x:c r="E69" t="str">
        <x:v>Administration</x:v>
      </x:c>
      <x:c r="F69" t="str">
        <x:v>ERP licences</x:v>
      </x:c>
      <x:c r="G69" s="26" t="n">
        <x:v>0</x:v>
      </x:c>
      <x:c r="H69" s="26" t="n">
        <x:v>850</x:v>
      </x:c>
      <x:c r="I69" t="str">
        <x:v>POSTED</x:v>
      </x:c>
      <x:c r="J69" t="str">
        <x:f>IF(OR(D69=1000,D69=1100,COUNTIF(BUDGET!$A$6:$A$14,D69)&gt;0),"KNOWN","UNKNOWN")</x:f>
        <x:v>KNOWN</x:v>
      </x:c>
    </x:row>
    <x:row r="70" ht="21" customHeight="1">
      <x:c r="A70" t="str">
        <x:v>JR-PAY-006</x:v>
      </x:c>
      <x:c r="B70" s="10" t="n">
        <x:v>46153</x:v>
      </x:c>
      <x:c r="C70" t="str">
        <x:v>PAY-006</x:v>
      </x:c>
      <x:c r="D70" t="n">
        <x:v>6300</x:v>
      </x:c>
      <x:c r="E70" t="str">
        <x:v>Sales</x:v>
      </x:c>
      <x:c r="F70" t="str">
        <x:v>Paid search campaign</x:v>
      </x:c>
      <x:c r="G70" s="26" t="n">
        <x:v>1700</x:v>
      </x:c>
      <x:c r="H70" s="26" t="n">
        <x:v>0</x:v>
      </x:c>
      <x:c r="I70" t="str">
        <x:v>POSTED</x:v>
      </x:c>
      <x:c r="J70" t="str">
        <x:f>IF(OR(D70=1000,D70=1100,COUNTIF(BUDGET!$A$6:$A$14,D70)&gt;0),"KNOWN","UNKNOWN")</x:f>
        <x:v>KNOWN</x:v>
      </x:c>
    </x:row>
    <x:row r="71" ht="21" customHeight="1">
      <x:c r="A71" t="str">
        <x:v>JR-PAY-006</x:v>
      </x:c>
      <x:c r="B71" s="10" t="n">
        <x:v>46153</x:v>
      </x:c>
      <x:c r="C71" t="str">
        <x:v>PAY-006</x:v>
      </x:c>
      <x:c r="D71" t="n">
        <x:v>1000</x:v>
      </x:c>
      <x:c r="E71" t="str">
        <x:v>Sales</x:v>
      </x:c>
      <x:c r="F71" t="str">
        <x:v>Paid search campaign</x:v>
      </x:c>
      <x:c r="G71" s="26" t="n">
        <x:v>0</x:v>
      </x:c>
      <x:c r="H71" s="26" t="n">
        <x:v>1700</x:v>
      </x:c>
      <x:c r="I71" t="str">
        <x:v>POSTED</x:v>
      </x:c>
      <x:c r="J71" t="str">
        <x:f>IF(OR(D71=1000,D71=1100,COUNTIF(BUDGET!$A$6:$A$14,D71)&gt;0),"KNOWN","UNKNOWN")</x:f>
        <x:v>KNOWN</x:v>
      </x:c>
    </x:row>
    <x:row r="72" ht="21" customHeight="1">
      <x:c r="A72" t="str">
        <x:v>JR-PAY-007</x:v>
      </x:c>
      <x:c r="B72" s="10" t="n">
        <x:v>46155</x:v>
      </x:c>
      <x:c r="C72" t="str">
        <x:v>PAY-007</x:v>
      </x:c>
      <x:c r="D72" t="n">
        <x:v>5000</x:v>
      </x:c>
      <x:c r="E72" t="str">
        <x:v>Operations</x:v>
      </x:c>
      <x:c r="F72" t="str">
        <x:v>Delivery vendor invoices</x:v>
      </x:c>
      <x:c r="G72" s="26" t="n">
        <x:v>3700</x:v>
      </x:c>
      <x:c r="H72" s="26" t="n">
        <x:v>0</x:v>
      </x:c>
      <x:c r="I72" t="str">
        <x:v>POSTED</x:v>
      </x:c>
      <x:c r="J72" t="str">
        <x:f>IF(OR(D72=1000,D72=1100,COUNTIF(BUDGET!$A$6:$A$14,D72)&gt;0),"KNOWN","UNKNOWN")</x:f>
        <x:v>KNOWN</x:v>
      </x:c>
    </x:row>
    <x:row r="73" ht="21" customHeight="1">
      <x:c r="A73" t="str">
        <x:v>JR-PAY-007</x:v>
      </x:c>
      <x:c r="B73" s="10" t="n">
        <x:v>46155</x:v>
      </x:c>
      <x:c r="C73" t="str">
        <x:v>PAY-007</x:v>
      </x:c>
      <x:c r="D73" t="n">
        <x:v>1000</x:v>
      </x:c>
      <x:c r="E73" t="str">
        <x:v>Operations</x:v>
      </x:c>
      <x:c r="F73" t="str">
        <x:v>Delivery vendor invoices</x:v>
      </x:c>
      <x:c r="G73" s="26" t="n">
        <x:v>0</x:v>
      </x:c>
      <x:c r="H73" s="26" t="n">
        <x:v>3700</x:v>
      </x:c>
      <x:c r="I73" t="str">
        <x:v>POSTED</x:v>
      </x:c>
      <x:c r="J73" t="str">
        <x:f>IF(OR(D73=1000,D73=1100,COUNTIF(BUDGET!$A$6:$A$14,D73)&gt;0),"KNOWN","UNKNOWN")</x:f>
        <x:v>KNOWN</x:v>
      </x:c>
    </x:row>
    <x:row r="74" ht="21" customHeight="1">
      <x:c r="A74" t="str">
        <x:v>JR-PAY-008</x:v>
      </x:c>
      <x:c r="B74" s="10" t="n">
        <x:v>46157</x:v>
      </x:c>
      <x:c r="C74" t="str">
        <x:v>PAY-008</x:v>
      </x:c>
      <x:c r="D74" t="n">
        <x:v>6500</x:v>
      </x:c>
      <x:c r="E74" t="str">
        <x:v>Administration</x:v>
      </x:c>
      <x:c r="F74" t="str">
        <x:v>Electricity and internet</x:v>
      </x:c>
      <x:c r="G74" s="26" t="n">
        <x:v>670</x:v>
      </x:c>
      <x:c r="H74" s="26" t="n">
        <x:v>0</x:v>
      </x:c>
      <x:c r="I74" t="str">
        <x:v>POSTED</x:v>
      </x:c>
      <x:c r="J74" t="str">
        <x:f>IF(OR(D74=1000,D74=1100,COUNTIF(BUDGET!$A$6:$A$14,D74)&gt;0),"KNOWN","UNKNOWN")</x:f>
        <x:v>KNOWN</x:v>
      </x:c>
    </x:row>
    <x:row r="75" ht="21" customHeight="1">
      <x:c r="A75" t="str">
        <x:v>JR-PAY-008</x:v>
      </x:c>
      <x:c r="B75" s="10" t="n">
        <x:v>46157</x:v>
      </x:c>
      <x:c r="C75" t="str">
        <x:v>PAY-008</x:v>
      </x:c>
      <x:c r="D75" t="n">
        <x:v>1000</x:v>
      </x:c>
      <x:c r="E75" t="str">
        <x:v>Administration</x:v>
      </x:c>
      <x:c r="F75" t="str">
        <x:v>Electricity and internet</x:v>
      </x:c>
      <x:c r="G75" s="26" t="n">
        <x:v>0</x:v>
      </x:c>
      <x:c r="H75" s="26" t="n">
        <x:v>670</x:v>
      </x:c>
      <x:c r="I75" t="str">
        <x:v>POSTED</x:v>
      </x:c>
      <x:c r="J75" t="str">
        <x:f>IF(OR(D75=1000,D75=1100,COUNTIF(BUDGET!$A$6:$A$14,D75)&gt;0),"KNOWN","UNKNOWN")</x:f>
        <x:v>KNOWN</x:v>
      </x:c>
    </x:row>
    <x:row r="76" ht="21" customHeight="1">
      <x:c r="A76" t="str">
        <x:v>JR-PAY-009</x:v>
      </x:c>
      <x:c r="B76" s="10" t="n">
        <x:v>46160</x:v>
      </x:c>
      <x:c r="C76" t="str">
        <x:v>PAY-009</x:v>
      </x:c>
      <x:c r="D76" t="n">
        <x:v>6100</x:v>
      </x:c>
      <x:c r="E76" t="str">
        <x:v>Sales</x:v>
      </x:c>
      <x:c r="F76" t="str">
        <x:v>Payroll - sales</x:v>
      </x:c>
      <x:c r="G76" s="26" t="n">
        <x:v>4000</x:v>
      </x:c>
      <x:c r="H76" s="26" t="n">
        <x:v>0</x:v>
      </x:c>
      <x:c r="I76" t="str">
        <x:v>POSTED</x:v>
      </x:c>
      <x:c r="J76" t="str">
        <x:f>IF(OR(D76=1000,D76=1100,COUNTIF(BUDGET!$A$6:$A$14,D76)&gt;0),"KNOWN","UNKNOWN")</x:f>
        <x:v>KNOWN</x:v>
      </x:c>
    </x:row>
    <x:row r="77" ht="21" customHeight="1">
      <x:c r="A77" t="str">
        <x:v>JR-PAY-009</x:v>
      </x:c>
      <x:c r="B77" s="10" t="n">
        <x:v>46160</x:v>
      </x:c>
      <x:c r="C77" t="str">
        <x:v>PAY-009</x:v>
      </x:c>
      <x:c r="D77" t="n">
        <x:v>1000</x:v>
      </x:c>
      <x:c r="E77" t="str">
        <x:v>Sales</x:v>
      </x:c>
      <x:c r="F77" t="str">
        <x:v>Payroll - sales</x:v>
      </x:c>
      <x:c r="G77" s="26" t="n">
        <x:v>0</x:v>
      </x:c>
      <x:c r="H77" s="26" t="n">
        <x:v>4000</x:v>
      </x:c>
      <x:c r="I77" t="str">
        <x:v>POSTED</x:v>
      </x:c>
      <x:c r="J77" t="str">
        <x:f>IF(OR(D77=1000,D77=1100,COUNTIF(BUDGET!$A$6:$A$14,D77)&gt;0),"KNOWN","UNKNOWN")</x:f>
        <x:v>KNOWN</x:v>
      </x:c>
    </x:row>
    <x:row r="78" ht="21" customHeight="1">
      <x:c r="A78" t="str">
        <x:v>JR-PAY-010</x:v>
      </x:c>
      <x:c r="B78" s="10" t="n">
        <x:v>46161</x:v>
      </x:c>
      <x:c r="C78" t="str">
        <x:v>PAY-010</x:v>
      </x:c>
      <x:c r="D78" t="n">
        <x:v>6400</x:v>
      </x:c>
      <x:c r="E78" t="str">
        <x:v>Operations</x:v>
      </x:c>
      <x:c r="F78" t="str">
        <x:v>Operations SaaS</x:v>
      </x:c>
      <x:c r="G78" s="26" t="n">
        <x:v>1150</x:v>
      </x:c>
      <x:c r="H78" s="26" t="n">
        <x:v>0</x:v>
      </x:c>
      <x:c r="I78" t="str">
        <x:v>POSTED</x:v>
      </x:c>
      <x:c r="J78" t="str">
        <x:f>IF(OR(D78=1000,D78=1100,COUNTIF(BUDGET!$A$6:$A$14,D78)&gt;0),"KNOWN","UNKNOWN")</x:f>
        <x:v>KNOWN</x:v>
      </x:c>
    </x:row>
    <x:row r="79" ht="21" customHeight="1">
      <x:c r="A79" t="str">
        <x:v>JR-PAY-010</x:v>
      </x:c>
      <x:c r="B79" s="10" t="n">
        <x:v>46161</x:v>
      </x:c>
      <x:c r="C79" t="str">
        <x:v>PAY-010</x:v>
      </x:c>
      <x:c r="D79" t="n">
        <x:v>1000</x:v>
      </x:c>
      <x:c r="E79" t="str">
        <x:v>Operations</x:v>
      </x:c>
      <x:c r="F79" t="str">
        <x:v>Operations SaaS</x:v>
      </x:c>
      <x:c r="G79" s="26" t="n">
        <x:v>0</x:v>
      </x:c>
      <x:c r="H79" s="26" t="n">
        <x:v>1150</x:v>
      </x:c>
      <x:c r="I79" t="str">
        <x:v>POSTED</x:v>
      </x:c>
      <x:c r="J79" t="str">
        <x:f>IF(OR(D79=1000,D79=1100,COUNTIF(BUDGET!$A$6:$A$14,D79)&gt;0),"KNOWN","UNKNOWN")</x:f>
        <x:v>KNOWN</x:v>
      </x:c>
    </x:row>
    <x:row r="80" ht="21" customHeight="1">
      <x:c r="A80" t="str">
        <x:v>JR-PAY-011</x:v>
      </x:c>
      <x:c r="B80" s="10" t="n">
        <x:v>46163</x:v>
      </x:c>
      <x:c r="C80" t="str">
        <x:v>PAY-011</x:v>
      </x:c>
      <x:c r="D80" t="n">
        <x:v>6300</x:v>
      </x:c>
      <x:c r="E80" t="str">
        <x:v>Sales</x:v>
      </x:c>
      <x:c r="F80" t="str">
        <x:v>Client event</x:v>
      </x:c>
      <x:c r="G80" s="26" t="n">
        <x:v>950</x:v>
      </x:c>
      <x:c r="H80" s="26" t="n">
        <x:v>0</x:v>
      </x:c>
      <x:c r="I80" t="str">
        <x:v>POSTED</x:v>
      </x:c>
      <x:c r="J80" t="str">
        <x:f>IF(OR(D80=1000,D80=1100,COUNTIF(BUDGET!$A$6:$A$14,D80)&gt;0),"KNOWN","UNKNOWN")</x:f>
        <x:v>KNOWN</x:v>
      </x:c>
    </x:row>
    <x:row r="81" ht="21" customHeight="1">
      <x:c r="A81" t="str">
        <x:v>JR-PAY-011</x:v>
      </x:c>
      <x:c r="B81" s="10" t="n">
        <x:v>46163</x:v>
      </x:c>
      <x:c r="C81" t="str">
        <x:v>PAY-011</x:v>
      </x:c>
      <x:c r="D81" t="n">
        <x:v>1000</x:v>
      </x:c>
      <x:c r="E81" t="str">
        <x:v>Sales</x:v>
      </x:c>
      <x:c r="F81" t="str">
        <x:v>Client event</x:v>
      </x:c>
      <x:c r="G81" s="26" t="n">
        <x:v>0</x:v>
      </x:c>
      <x:c r="H81" s="26" t="n">
        <x:v>950</x:v>
      </x:c>
      <x:c r="I81" t="str">
        <x:v>POSTED</x:v>
      </x:c>
      <x:c r="J81" t="str">
        <x:f>IF(OR(D81=1000,D81=1100,COUNTIF(BUDGET!$A$6:$A$14,D81)&gt;0),"KNOWN","UNKNOWN")</x:f>
        <x:v>KNOWN</x:v>
      </x:c>
    </x:row>
    <x:row r="82" ht="21" customHeight="1">
      <x:c r="A82" t="str">
        <x:v>JR-PAY-012</x:v>
      </x:c>
      <x:c r="B82" s="10" t="n">
        <x:v>46166</x:v>
      </x:c>
      <x:c r="C82" t="str">
        <x:v>PAY-012</x:v>
      </x:c>
      <x:c r="D82" t="n">
        <x:v>5000</x:v>
      </x:c>
      <x:c r="E82" t="str">
        <x:v>Operations</x:v>
      </x:c>
      <x:c r="F82" t="str">
        <x:v>Delivery vendor invoices</x:v>
      </x:c>
      <x:c r="G82" s="26" t="n">
        <x:v>2450</x:v>
      </x:c>
      <x:c r="H82" s="26" t="n">
        <x:v>0</x:v>
      </x:c>
      <x:c r="I82" t="str">
        <x:v>POSTED</x:v>
      </x:c>
      <x:c r="J82" t="str">
        <x:f>IF(OR(D82=1000,D82=1100,COUNTIF(BUDGET!$A$6:$A$14,D82)&gt;0),"KNOWN","UNKNOWN")</x:f>
        <x:v>KNOWN</x:v>
      </x:c>
    </x:row>
    <x:row r="83" ht="21" customHeight="1">
      <x:c r="A83" t="str">
        <x:v>JR-PAY-012</x:v>
      </x:c>
      <x:c r="B83" s="10" t="n">
        <x:v>46166</x:v>
      </x:c>
      <x:c r="C83" t="str">
        <x:v>PAY-012</x:v>
      </x:c>
      <x:c r="D83" t="n">
        <x:v>1000</x:v>
      </x:c>
      <x:c r="E83" t="str">
        <x:v>Operations</x:v>
      </x:c>
      <x:c r="F83" t="str">
        <x:v>Delivery vendor invoices</x:v>
      </x:c>
      <x:c r="G83" s="26" t="n">
        <x:v>0</x:v>
      </x:c>
      <x:c r="H83" s="26" t="n">
        <x:v>2450</x:v>
      </x:c>
      <x:c r="I83" t="str">
        <x:v>POSTED</x:v>
      </x:c>
      <x:c r="J83" t="str">
        <x:f>IF(OR(D83=1000,D83=1100,COUNTIF(BUDGET!$A$6:$A$14,D83)&gt;0),"KNOWN","UNKNOWN")</x:f>
        <x:v>KNOWN</x:v>
      </x:c>
    </x:row>
    <x:row r="84" ht="21" customHeight="1">
      <x:c r="A84" t="str">
        <x:v>JR-PAY-013</x:v>
      </x:c>
      <x:c r="B84" s="10" t="n">
        <x:v>46171</x:v>
      </x:c>
      <x:c r="C84" t="str">
        <x:v>PAY-013</x:v>
      </x:c>
      <x:c r="D84" t="n">
        <x:v>6200</x:v>
      </x:c>
      <x:c r="E84" t="str">
        <x:v>Administration</x:v>
      </x:c>
      <x:c r="F84" t="str">
        <x:v>Office storage rent</x:v>
      </x:c>
      <x:c r="G84" s="26" t="n">
        <x:v>1250</x:v>
      </x:c>
      <x:c r="H84" s="26" t="n">
        <x:v>0</x:v>
      </x:c>
      <x:c r="I84" t="str">
        <x:v>POSTED</x:v>
      </x:c>
      <x:c r="J84" t="str">
        <x:f>IF(OR(D84=1000,D84=1100,COUNTIF(BUDGET!$A$6:$A$14,D84)&gt;0),"KNOWN","UNKNOWN")</x:f>
        <x:v>KNOWN</x:v>
      </x:c>
    </x:row>
    <x:row r="85" ht="21" customHeight="1">
      <x:c r="A85" t="str">
        <x:v>JR-PAY-013</x:v>
      </x:c>
      <x:c r="B85" s="10" t="n">
        <x:v>46171</x:v>
      </x:c>
      <x:c r="C85" t="str">
        <x:v>PAY-013</x:v>
      </x:c>
      <x:c r="D85" t="n">
        <x:v>1000</x:v>
      </x:c>
      <x:c r="E85" t="str">
        <x:v>Administration</x:v>
      </x:c>
      <x:c r="F85" t="str">
        <x:v>Office storage rent</x:v>
      </x:c>
      <x:c r="G85" s="26" t="n">
        <x:v>0</x:v>
      </x:c>
      <x:c r="H85" s="26" t="n">
        <x:v>1250</x:v>
      </x:c>
      <x:c r="I85" t="str">
        <x:v>POSTED</x:v>
      </x:c>
      <x:c r="J85" t="str">
        <x:f>IF(OR(D85=1000,D85=1100,COUNTIF(BUDGET!$A$6:$A$14,D85)&gt;0),"KNOWN","UNKNOWN")</x:f>
        <x:v>KNOWN</x:v>
      </x:c>
    </x:row>
    <x:row r="86" ht="21" customHeight="1">
      <x:c r="A86" t="str">
        <x:v>JR-PAY-014</x:v>
      </x:c>
      <x:c r="B86" s="10" t="n">
        <x:v>46172</x:v>
      </x:c>
      <x:c r="C86" t="str">
        <x:v>PAY-014</x:v>
      </x:c>
      <x:c r="D86" t="n">
        <x:v>6500</x:v>
      </x:c>
      <x:c r="E86" t="str">
        <x:v>Administration</x:v>
      </x:c>
      <x:c r="F86" t="str">
        <x:v>Service fees</x:v>
      </x:c>
      <x:c r="G86" s="26" t="n">
        <x:v>410</x:v>
      </x:c>
      <x:c r="H86" s="26" t="n">
        <x:v>0</x:v>
      </x:c>
      <x:c r="I86" t="str">
        <x:v>POSTED</x:v>
      </x:c>
      <x:c r="J86" t="str">
        <x:f>IF(OR(D86=1000,D86=1100,COUNTIF(BUDGET!$A$6:$A$14,D86)&gt;0),"KNOWN","UNKNOWN")</x:f>
        <x:v>KNOWN</x:v>
      </x:c>
    </x:row>
    <x:row r="87" ht="21" customHeight="1">
      <x:c r="A87" t="str">
        <x:v>JR-PAY-014</x:v>
      </x:c>
      <x:c r="B87" s="10" t="n">
        <x:v>46172</x:v>
      </x:c>
      <x:c r="C87" t="str">
        <x:v>PAY-014</x:v>
      </x:c>
      <x:c r="D87" t="n">
        <x:v>1000</x:v>
      </x:c>
      <x:c r="E87" t="str">
        <x:v>Administration</x:v>
      </x:c>
      <x:c r="F87" t="str">
        <x:v>Service fees</x:v>
      </x:c>
      <x:c r="G87" s="26" t="n">
        <x:v>0</x:v>
      </x:c>
      <x:c r="H87" s="26" t="n">
        <x:v>410</x:v>
      </x:c>
      <x:c r="I87" t="str">
        <x:v>POSTED</x:v>
      </x:c>
      <x:c r="J87" t="str">
        <x:f>IF(OR(D87=1000,D87=1100,COUNTIF(BUDGET!$A$6:$A$14,D87)&gt;0),"KNOWN","UNKNOWN")</x:f>
        <x:v>KNOWN</x:v>
      </x:c>
    </x:row>
    <x:row r="88" ht="21" customHeight="1">
      <x:c r="A88" t="str">
        <x:v>JR-PAY-015</x:v>
      </x:c>
      <x:c r="B88" s="10" t="n">
        <x:v>46168</x:v>
      </x:c>
      <x:c r="C88" t="str">
        <x:v>PAY-015</x:v>
      </x:c>
      <x:c r="D88" t="n">
        <x:v>6300</x:v>
      </x:c>
      <x:c r="E88" t="str">
        <x:v>Sales</x:v>
      </x:c>
      <x:c r="F88" t="str">
        <x:v>Customer outreach</x:v>
      </x:c>
      <x:c r="G88" s="26" t="n">
        <x:v>810</x:v>
      </x:c>
      <x:c r="H88" s="26" t="n">
        <x:v>0</x:v>
      </x:c>
      <x:c r="I88" t="str">
        <x:v>POSTED</x:v>
      </x:c>
      <x:c r="J88" t="str">
        <x:f>IF(OR(D88=1000,D88=1100,COUNTIF(BUDGET!$A$6:$A$14,D88)&gt;0),"KNOWN","UNKNOWN")</x:f>
        <x:v>KNOWN</x:v>
      </x:c>
    </x:row>
    <x:row r="89" ht="21" customHeight="1">
      <x:c r="A89" t="str">
        <x:v>JR-PAY-015</x:v>
      </x:c>
      <x:c r="B89" s="10" t="n">
        <x:v>46168</x:v>
      </x:c>
      <x:c r="C89" t="str">
        <x:v>PAY-015</x:v>
      </x:c>
      <x:c r="D89" t="n">
        <x:v>1000</x:v>
      </x:c>
      <x:c r="E89" t="str">
        <x:v>Sales</x:v>
      </x:c>
      <x:c r="F89" t="str">
        <x:v>Customer outreach</x:v>
      </x:c>
      <x:c r="G89" s="26" t="n">
        <x:v>0</x:v>
      </x:c>
      <x:c r="H89" s="26" t="n">
        <x:v>810</x:v>
      </x:c>
      <x:c r="I89" t="str">
        <x:v>POSTED</x:v>
      </x:c>
      <x:c r="J89" t="str">
        <x:f>IF(OR(D89=1000,D89=1100,COUNTIF(BUDGET!$A$6:$A$14,D89)&gt;0),"KNOWN","UNKNOWN")</x:f>
        <x:v>KNOWN</x:v>
      </x:c>
    </x:row>
    <x:row r="90" ht="21" customHeight="1">
      <x:c r="A90" t="str">
        <x:v>JV-PENDING</x:v>
      </x:c>
      <x:c r="B90" s="10" t="n">
        <x:v>46173</x:v>
      </x:c>
      <x:c r="C90" t="str">
        <x:v>PEND-001</x:v>
      </x:c>
      <x:c r="D90" t="n">
        <x:v>6400</x:v>
      </x:c>
      <x:c r="E90" t="str">
        <x:v>Administration</x:v>
      </x:c>
      <x:c r="F90" t="str">
        <x:v>Unapproved accrual (excluded)</x:v>
      </x:c>
      <x:c r="G90" s="26" t="n">
        <x:v>600</x:v>
      </x:c>
      <x:c r="H90" s="26" t="n">
        <x:v>0</x:v>
      </x:c>
      <x:c r="I90" t="str">
        <x:v>PENDING</x:v>
      </x:c>
      <x:c r="J90" t="str">
        <x:f>IF(OR(D90=1000,D90=1100,COUNTIF(BUDGET!$A$6:$A$14,D90)&gt;0),"KNOWN","UNKNOWN")</x:f>
        <x:v>KNOWN</x:v>
      </x:c>
    </x:row>
    <x:row r="91" ht="21" customHeight="1">
      <x:c r="A91" t="str">
        <x:v>JV-PENDING</x:v>
      </x:c>
      <x:c r="B91" s="10" t="n">
        <x:v>46173</x:v>
      </x:c>
      <x:c r="C91" t="str">
        <x:v>PEND-001</x:v>
      </x:c>
      <x:c r="D91" t="n">
        <x:v>2100</x:v>
      </x:c>
      <x:c r="E91" t="str">
        <x:v>Administration</x:v>
      </x:c>
      <x:c r="F91" t="str">
        <x:v>Unapproved accrual (excluded)</x:v>
      </x:c>
      <x:c r="G91" s="26" t="n">
        <x:v>0</x:v>
      </x:c>
      <x:c r="H91" s="26" t="n">
        <x:v>600</x:v>
      </x:c>
      <x:c r="I91" t="str">
        <x:v>PENDING</x:v>
      </x:c>
      <x:c r="J91" t="str">
        <x:f>IF(OR(D91=1000,D91=1100,COUNTIF(BUDGET!$A$6:$A$14,D91)&gt;0),"KNOWN","UNKNOWN")</x:f>
        <x:v>UNKNOWN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7" hidden="0" customWidth="1"/>
    <x:col min="3" max="3" width="20" hidden="0" customWidth="1"/>
    <x:col min="4" max="4" width="20" hidden="0" customWidth="1"/>
    <x:col min="5" max="5" width="40" hidden="0" customWidth="1"/>
  </x:cols>
  <x:sheetData>
    <x:row r="1">
      <x:c r="A1" s="8" t="str">
        <x:v>SOURCE 02  •  BANK STATEMENT</x:v>
      </x:c>
      <x:c r="B1" s="8"/>
      <x:c r="C1" s="8"/>
      <x:c r="D1" s="8"/>
      <x:c r="E1" s="8"/>
    </x:row>
    <x:row r="2">
      <x:c r="A2" s="8"/>
      <x:c r="B2" s="8"/>
      <x:c r="C2" s="8"/>
      <x:c r="D2" s="8"/>
      <x:c r="E2" s="8"/>
    </x:row>
    <x:row r="5" ht="29" customHeight="1">
      <x:c r="A5" s="24" t="str">
        <x:v>Bank ID</x:v>
      </x:c>
      <x:c r="B5" s="24" t="str">
        <x:v>Value date</x:v>
      </x:c>
      <x:c r="C5" s="24" t="str">
        <x:v>Reference</x:v>
      </x:c>
      <x:c r="D5" s="24" t="str">
        <x:v>Signed amt (USD)</x:v>
      </x:c>
      <x:c r="E5" s="24" t="str">
        <x:v>Narrative</x:v>
      </x:c>
    </x:row>
    <x:row r="6" ht="21" customHeight="1">
      <x:c r="A6" t="str">
        <x:v>BNK-014</x:v>
      </x:c>
      <x:c r="B6" s="10" t="n">
        <x:v>46146</x:v>
      </x:c>
      <x:c r="C6" t="str">
        <x:v>PAY-001</x:v>
      </x:c>
      <x:c r="D6" s="26" t="n">
        <x:v>-4400</x:v>
      </x:c>
      <x:c r="E6" t="str">
        <x:v>Vendor payment</x:v>
      </x:c>
    </x:row>
    <x:row r="7" ht="21" customHeight="1">
      <x:c r="A7" t="str">
        <x:v>BNK-015</x:v>
      </x:c>
      <x:c r="B7" s="10" t="n">
        <x:v>46147</x:v>
      </x:c>
      <x:c r="C7" t="str">
        <x:v>PAY-002</x:v>
      </x:c>
      <x:c r="D7" s="26" t="n">
        <x:v>-5200</x:v>
      </x:c>
      <x:c r="E7" t="str">
        <x:v>Vendor payment</x:v>
      </x:c>
    </x:row>
    <x:row r="8" ht="21" customHeight="1">
      <x:c r="A8" t="str">
        <x:v>BNK-001</x:v>
      </x:c>
      <x:c r="B8" s="10" t="n">
        <x:v>46148</x:v>
      </x:c>
      <x:c r="C8" t="str">
        <x:v>REC-001</x:v>
      </x:c>
      <x:c r="D8" s="26" t="n">
        <x:v>5400</x:v>
      </x:c>
      <x:c r="E8" t="str">
        <x:v>Customer settlement</x:v>
      </x:c>
    </x:row>
    <x:row r="9" ht="21" customHeight="1">
      <x:c r="A9" t="str">
        <x:v>BNK-016</x:v>
      </x:c>
      <x:c r="B9" s="10" t="n">
        <x:v>46148</x:v>
      </x:c>
      <x:c r="C9" t="str">
        <x:v>PAY-003</x:v>
      </x:c>
      <x:c r="D9" s="26" t="n">
        <x:v>-7100</x:v>
      </x:c>
      <x:c r="E9" t="str">
        <x:v>Vendor payment</x:v>
      </x:c>
    </x:row>
    <x:row r="10" ht="21" customHeight="1">
      <x:c r="A10" t="str">
        <x:v>BNK-017</x:v>
      </x:c>
      <x:c r="B10" s="10" t="n">
        <x:v>46149</x:v>
      </x:c>
      <x:c r="C10" t="str">
        <x:v>PAY-004</x:v>
      </x:c>
      <x:c r="D10" s="26" t="n">
        <x:v>-2350</x:v>
      </x:c>
      <x:c r="E10" t="str">
        <x:v>Vendor payment</x:v>
      </x:c>
    </x:row>
    <x:row r="11" ht="21" customHeight="1">
      <x:c r="A11" t="str">
        <x:v>BNK-018</x:v>
      </x:c>
      <x:c r="B11" s="10" t="n">
        <x:v>46150</x:v>
      </x:c>
      <x:c r="C11" t="str">
        <x:v>PAY-005</x:v>
      </x:c>
      <x:c r="D11" s="26" t="n">
        <x:v>-850</x:v>
      </x:c>
      <x:c r="E11" t="str">
        <x:v>Vendor payment</x:v>
      </x:c>
    </x:row>
    <x:row r="12" ht="21" customHeight="1">
      <x:c r="A12" t="str">
        <x:v>BNK-002</x:v>
      </x:c>
      <x:c r="B12" s="10" t="n">
        <x:v>46152</x:v>
      </x:c>
      <x:c r="C12" t="str">
        <x:v>REC-002</x:v>
      </x:c>
      <x:c r="D12" s="26" t="n">
        <x:v>1300</x:v>
      </x:c>
      <x:c r="E12" t="str">
        <x:v>Customer settlement</x:v>
      </x:c>
    </x:row>
    <x:row r="13" ht="21" customHeight="1">
      <x:c r="A13" t="str">
        <x:v>BNK-019</x:v>
      </x:c>
      <x:c r="B13" s="10" t="n">
        <x:v>46153</x:v>
      </x:c>
      <x:c r="C13" t="str">
        <x:v>PAY-006</x:v>
      </x:c>
      <x:c r="D13" s="26" t="n">
        <x:v>-1700</x:v>
      </x:c>
      <x:c r="E13" t="str">
        <x:v>Vendor payment</x:v>
      </x:c>
    </x:row>
    <x:row r="14" ht="21" customHeight="1">
      <x:c r="A14" t="str">
        <x:v>BNK-003</x:v>
      </x:c>
      <x:c r="B14" s="10" t="n">
        <x:v>46154</x:v>
      </x:c>
      <x:c r="C14" t="str">
        <x:v>REC-003</x:v>
      </x:c>
      <x:c r="D14" s="26" t="n">
        <x:v>2100</x:v>
      </x:c>
      <x:c r="E14" t="str">
        <x:v>Customer settlement</x:v>
      </x:c>
    </x:row>
    <x:row r="15" ht="21" customHeight="1">
      <x:c r="A15" t="str">
        <x:v>BNK-008</x:v>
      </x:c>
      <x:c r="B15" s="10" t="n">
        <x:v>46155</x:v>
      </x:c>
      <x:c r="C15" t="str">
        <x:v>REC-008</x:v>
      </x:c>
      <x:c r="D15" s="26" t="n">
        <x:v>5750</x:v>
      </x:c>
      <x:c r="E15" t="str">
        <x:v>Customer settlement</x:v>
      </x:c>
    </x:row>
    <x:row r="16" ht="21" customHeight="1">
      <x:c r="A16" t="str">
        <x:v>BNK-020</x:v>
      </x:c>
      <x:c r="B16" s="10" t="n">
        <x:v>46155</x:v>
      </x:c>
      <x:c r="C16" t="str">
        <x:v>PAY-007</x:v>
      </x:c>
      <x:c r="D16" s="26" t="n">
        <x:v>-3700</x:v>
      </x:c>
      <x:c r="E16" t="str">
        <x:v>Vendor payment</x:v>
      </x:c>
    </x:row>
    <x:row r="17" ht="21" customHeight="1">
      <x:c r="A17" t="str">
        <x:v>BNK-021</x:v>
      </x:c>
      <x:c r="B17" s="10" t="n">
        <x:v>46157</x:v>
      </x:c>
      <x:c r="C17" t="str">
        <x:v>PAY-008</x:v>
      </x:c>
      <x:c r="D17" s="26" t="n">
        <x:v>-670</x:v>
      </x:c>
      <x:c r="E17" t="str">
        <x:v>Vendor payment</x:v>
      </x:c>
    </x:row>
    <x:row r="18" ht="21" customHeight="1">
      <x:c r="A18" t="str">
        <x:v>BNK-022</x:v>
      </x:c>
      <x:c r="B18" s="10" t="n">
        <x:v>46160</x:v>
      </x:c>
      <x:c r="C18" t="str">
        <x:v>PAY-009</x:v>
      </x:c>
      <x:c r="D18" s="26" t="n">
        <x:v>-4000</x:v>
      </x:c>
      <x:c r="E18" t="str">
        <x:v>Vendor payment</x:v>
      </x:c>
    </x:row>
    <x:row r="19" ht="21" customHeight="1">
      <x:c r="A19" t="str">
        <x:v>BNK-004</x:v>
      </x:c>
      <x:c r="B19" s="10" t="n">
        <x:v>46161</x:v>
      </x:c>
      <x:c r="C19" t="str">
        <x:v>REC-004</x:v>
      </x:c>
      <x:c r="D19" s="26" t="n">
        <x:v>3100</x:v>
      </x:c>
      <x:c r="E19" t="str">
        <x:v>Customer settlement</x:v>
      </x:c>
    </x:row>
    <x:row r="20" ht="21" customHeight="1">
      <x:c r="A20" t="str">
        <x:v>BNK-009</x:v>
      </x:c>
      <x:c r="B20" s="10" t="n">
        <x:v>46161</x:v>
      </x:c>
      <x:c r="C20" t="str">
        <x:v>REC-009</x:v>
      </x:c>
      <x:c r="D20" s="26" t="n">
        <x:v>3000</x:v>
      </x:c>
      <x:c r="E20" t="str">
        <x:v>Customer settlement</x:v>
      </x:c>
    </x:row>
    <x:row r="21" ht="21" customHeight="1">
      <x:c r="A21" t="str">
        <x:v>BNK-023</x:v>
      </x:c>
      <x:c r="B21" s="10" t="n">
        <x:v>46161</x:v>
      </x:c>
      <x:c r="C21" t="str">
        <x:v>PAY-010</x:v>
      </x:c>
      <x:c r="D21" s="26" t="n">
        <x:v>-1150</x:v>
      </x:c>
      <x:c r="E21" t="str">
        <x:v>Vendor payment</x:v>
      </x:c>
    </x:row>
    <x:row r="22" ht="21" customHeight="1">
      <x:c r="A22" t="str">
        <x:v>BNK-024</x:v>
      </x:c>
      <x:c r="B22" s="10" t="n">
        <x:v>46163</x:v>
      </x:c>
      <x:c r="C22" t="str">
        <x:v>PAY-011</x:v>
      </x:c>
      <x:c r="D22" s="26" t="n">
        <x:v>-950</x:v>
      </x:c>
      <x:c r="E22" t="str">
        <x:v>Vendor payment</x:v>
      </x:c>
    </x:row>
    <x:row r="23" ht="21" customHeight="1">
      <x:c r="A23" t="str">
        <x:v>BNK-005</x:v>
      </x:c>
      <x:c r="B23" s="10" t="n">
        <x:v>46164</x:v>
      </x:c>
      <x:c r="C23" t="str">
        <x:v>REC-005</x:v>
      </x:c>
      <x:c r="D23" s="26" t="n">
        <x:v>1650</x:v>
      </x:c>
      <x:c r="E23" t="str">
        <x:v>Customer settlement</x:v>
      </x:c>
    </x:row>
    <x:row r="24" ht="21" customHeight="1">
      <x:c r="A24" t="str">
        <x:v>BNK-025</x:v>
      </x:c>
      <x:c r="B24" s="10" t="n">
        <x:v>46166</x:v>
      </x:c>
      <x:c r="C24" t="str">
        <x:v>PAY-012</x:v>
      </x:c>
      <x:c r="D24" s="26" t="n">
        <x:v>-2450</x:v>
      </x:c>
      <x:c r="E24" t="str">
        <x:v>Vendor payment</x:v>
      </x:c>
    </x:row>
    <x:row r="25" ht="21" customHeight="1">
      <x:c r="A25" t="str">
        <x:v>BNK-010</x:v>
      </x:c>
      <x:c r="B25" s="10" t="n">
        <x:v>46167</x:v>
      </x:c>
      <x:c r="C25" t="str">
        <x:v>REC-010</x:v>
      </x:c>
      <x:c r="D25" s="26" t="n">
        <x:v>7200</x:v>
      </x:c>
      <x:c r="E25" t="str">
        <x:v>Customer settlement</x:v>
      </x:c>
    </x:row>
    <x:row r="26" ht="21" customHeight="1">
      <x:c r="A26" t="str">
        <x:v>BNK-026</x:v>
      </x:c>
      <x:c r="B26" s="10" t="n">
        <x:v>46168</x:v>
      </x:c>
      <x:c r="C26" t="str">
        <x:v>PAY-015</x:v>
      </x:c>
      <x:c r="D26" s="26" t="n">
        <x:v>-810</x:v>
      </x:c>
      <x:c r="E26" t="str">
        <x:v>Vendor payment</x:v>
      </x:c>
    </x:row>
    <x:row r="27" ht="21" customHeight="1">
      <x:c r="A27" t="str">
        <x:v>BNK-006</x:v>
      </x:c>
      <x:c r="B27" s="10" t="n">
        <x:v>46170</x:v>
      </x:c>
      <x:c r="C27" t="str">
        <x:v>REC-006</x:v>
      </x:c>
      <x:c r="D27" s="26" t="n">
        <x:v>1400</x:v>
      </x:c>
      <x:c r="E27" t="str">
        <x:v>Customer settlement</x:v>
      </x:c>
    </x:row>
    <x:row r="28" ht="21" customHeight="1">
      <x:c r="A28" t="str">
        <x:v>BNK-011</x:v>
      </x:c>
      <x:c r="B28" s="10" t="n">
        <x:v>46170</x:v>
      </x:c>
      <x:c r="C28" t="str">
        <x:v>REC-011</x:v>
      </x:c>
      <x:c r="D28" s="26" t="n">
        <x:v>3900</x:v>
      </x:c>
      <x:c r="E28" t="str">
        <x:v>Customer settlement</x:v>
      </x:c>
    </x:row>
    <x:row r="29" ht="21" customHeight="1">
      <x:c r="A29" t="str">
        <x:v>BNK-007</x:v>
      </x:c>
      <x:c r="B29" s="10" t="n">
        <x:v>46172</x:v>
      </x:c>
      <x:c r="C29" t="str">
        <x:v>REC-007</x:v>
      </x:c>
      <x:c r="D29" s="26" t="n">
        <x:v>2900</x:v>
      </x:c>
      <x:c r="E29" t="str">
        <x:v>Customer settlement</x:v>
      </x:c>
    </x:row>
    <x:row r="30" ht="21" customHeight="1">
      <x:c r="A30" t="str">
        <x:v>BNK-012</x:v>
      </x:c>
      <x:c r="B30" s="10" t="n">
        <x:v>46172</x:v>
      </x:c>
      <x:c r="C30" t="str">
        <x:v>REC-012</x:v>
      </x:c>
      <x:c r="D30" s="26" t="n">
        <x:v>4800</x:v>
      </x:c>
      <x:c r="E30" t="str">
        <x:v>Customer settlement</x:v>
      </x:c>
    </x:row>
    <x:row r="31" ht="21" customHeight="1">
      <x:c r="A31" t="str">
        <x:v>BNK-013</x:v>
      </x:c>
      <x:c r="B31" s="10" t="n">
        <x:v>46173</x:v>
      </x:c>
      <x:c r="C31" t="str">
        <x:v>REC-013</x:v>
      </x:c>
      <x:c r="D31" s="26" t="n">
        <x:v>2000</x:v>
      </x:c>
      <x:c r="E31" t="str">
        <x:v>Customer settlement</x:v>
      </x:c>
    </x:row>
    <x:row r="32" ht="21" customHeight="1">
      <x:c r="A32" t="str">
        <x:v>BNK-FEE</x:v>
      </x:c>
      <x:c r="B32" s="10" t="n">
        <x:v>46173</x:v>
      </x:c>
      <x:c r="C32" t="str">
        <x:v>BANK-FEE</x:v>
      </x:c>
      <x:c r="D32" s="26" t="n">
        <x:v>-55</x:v>
      </x:c>
      <x:c r="E32" t="str">
        <x:v>Monthly bank service charge</x:v>
      </x:c>
    </x:row>
    <x:row r="33" ht="21" customHeight="1">
      <x:c r="A33" t="str">
        <x:v>BNK-INT</x:v>
      </x:c>
      <x:c r="B33" s="10" t="n">
        <x:v>46173</x:v>
      </x:c>
      <x:c r="C33" t="str">
        <x:v>BANK-INT</x:v>
      </x:c>
      <x:c r="D33" s="26" t="n">
        <x:v>15</x:v>
      </x:c>
      <x:c r="E33" t="str">
        <x:v>Bank credit interest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8" hidden="0" customWidth="1"/>
    <x:col min="3" max="3" width="18" hidden="0" customWidth="1"/>
    <x:col min="4" max="4" width="18" hidden="0" customWidth="1"/>
    <x:col min="5" max="5" width="20" hidden="0" customWidth="1"/>
  </x:cols>
  <x:sheetData>
    <x:row r="1">
      <x:c r="A1" s="8" t="str">
        <x:v>SOURCE 03  •  CUSTOMER INVOICES</x:v>
      </x:c>
      <x:c r="B1" s="8"/>
      <x:c r="C1" s="8"/>
      <x:c r="D1" s="8"/>
      <x:c r="E1" s="8"/>
    </x:row>
    <x:row r="2">
      <x:c r="A2" s="8"/>
      <x:c r="B2" s="8"/>
      <x:c r="C2" s="8"/>
      <x:c r="D2" s="8"/>
      <x:c r="E2" s="8"/>
    </x:row>
    <x:row r="5" ht="29" customHeight="1">
      <x:c r="A5" s="24" t="str">
        <x:v>Invoice ID</x:v>
      </x:c>
      <x:c r="B5" s="24" t="str">
        <x:v>Customer</x:v>
      </x:c>
      <x:c r="C5" s="24" t="str">
        <x:v>Invoice date</x:v>
      </x:c>
      <x:c r="D5" s="24" t="str">
        <x:v>Due date</x:v>
      </x:c>
      <x:c r="E5" s="24" t="str">
        <x:v>Gross (USD)</x:v>
      </x:c>
    </x:row>
    <x:row r="6" ht="21" customHeight="1">
      <x:c r="A6" t="str">
        <x:v>INV-2603-101</x:v>
      </x:c>
      <x:c r="B6" t="str">
        <x:v>Aster Retail</x:v>
      </x:c>
      <x:c r="C6" s="10" t="n">
        <x:v>46109</x:v>
      </x:c>
      <x:c r="D6" s="10" t="n">
        <x:v>46139</x:v>
      </x:c>
      <x:c r="E6" s="26" t="n">
        <x:v>5400</x:v>
      </x:c>
    </x:row>
    <x:row r="7" ht="21" customHeight="1">
      <x:c r="A7" t="str">
        <x:v>INV-2604-102</x:v>
      </x:c>
      <x:c r="B7" t="str">
        <x:v>Dune Media</x:v>
      </x:c>
      <x:c r="C7" s="10" t="n">
        <x:v>46119</x:v>
      </x:c>
      <x:c r="D7" s="10" t="n">
        <x:v>46149</x:v>
      </x:c>
      <x:c r="E7" s="26" t="n">
        <x:v>3250</x:v>
      </x:c>
    </x:row>
    <x:row r="8" ht="21" customHeight="1">
      <x:c r="A8" t="str">
        <x:v>INV-2604-103</x:v>
      </x:c>
      <x:c r="B8" t="str">
        <x:v>Garnet Works</x:v>
      </x:c>
      <x:c r="C8" s="10" t="n">
        <x:v>46124</x:v>
      </x:c>
      <x:c r="D8" s="10" t="n">
        <x:v>46154</x:v>
      </x:c>
      <x:c r="E8" s="26" t="n">
        <x:v>2100</x:v>
      </x:c>
    </x:row>
    <x:row r="9" ht="21" customHeight="1">
      <x:c r="A9" t="str">
        <x:v>INV-2604-104</x:v>
      </x:c>
      <x:c r="B9" t="str">
        <x:v>Beacon Foods</x:v>
      </x:c>
      <x:c r="C9" s="10" t="n">
        <x:v>46129</x:v>
      </x:c>
      <x:c r="D9" s="10" t="n">
        <x:v>46159</x:v>
      </x:c>
      <x:c r="E9" s="26" t="n">
        <x:v>4750</x:v>
      </x:c>
    </x:row>
    <x:row r="10" ht="21" customHeight="1">
      <x:c r="A10" t="str">
        <x:v>INV-2604-105</x:v>
      </x:c>
      <x:c r="B10" t="str">
        <x:v>Evergreen Tech</x:v>
      </x:c>
      <x:c r="C10" s="10" t="n">
        <x:v>46133</x:v>
      </x:c>
      <x:c r="D10" s="10" t="n">
        <x:v>46163</x:v>
      </x:c>
      <x:c r="E10" s="26" t="n">
        <x:v>1650</x:v>
      </x:c>
    </x:row>
    <x:row r="11" ht="21" customHeight="1">
      <x:c r="A11" t="str">
        <x:v>INV-2604-106</x:v>
      </x:c>
      <x:c r="B11" t="str">
        <x:v>Harbor Services</x:v>
      </x:c>
      <x:c r="C11" s="10" t="n">
        <x:v>46136</x:v>
      </x:c>
      <x:c r="D11" s="10" t="n">
        <x:v>46166</x:v>
      </x:c>
      <x:c r="E11" s="26" t="n">
        <x:v>3600</x:v>
      </x:c>
    </x:row>
    <x:row r="12" ht="21" customHeight="1">
      <x:c r="A12" t="str">
        <x:v>INV-2604-107</x:v>
      </x:c>
      <x:c r="B12" t="str">
        <x:v>Cedar Logistics</x:v>
      </x:c>
      <x:c r="C12" s="10" t="n">
        <x:v>46138</x:v>
      </x:c>
      <x:c r="D12" s="10" t="n">
        <x:v>46168</x:v>
      </x:c>
      <x:c r="E12" s="26" t="n">
        <x:v>2900</x:v>
      </x:c>
    </x:row>
    <x:row r="13" ht="21" customHeight="1">
      <x:c r="A13" t="str">
        <x:v>INV-2604-108</x:v>
      </x:c>
      <x:c r="B13" t="str">
        <x:v>Falcon Supply</x:v>
      </x:c>
      <x:c r="C13" s="10" t="n">
        <x:v>46141</x:v>
      </x:c>
      <x:c r="D13" s="10" t="n">
        <x:v>46171</x:v>
      </x:c>
      <x:c r="E13" s="26" t="n">
        <x:v>1850</x:v>
      </x:c>
    </x:row>
    <x:row r="14" ht="21" customHeight="1">
      <x:c r="A14" t="str">
        <x:v>INV-2605-201</x:v>
      </x:c>
      <x:c r="B14" t="str">
        <x:v>Aster Retail</x:v>
      </x:c>
      <x:c r="C14" s="10" t="n">
        <x:v>46144</x:v>
      </x:c>
      <x:c r="D14" s="10" t="n">
        <x:v>46174</x:v>
      </x:c>
      <x:c r="E14" s="26" t="n">
        <x:v>5750</x:v>
      </x:c>
    </x:row>
    <x:row r="15" ht="21" customHeight="1">
      <x:c r="A15" t="str">
        <x:v>INV-2605-202</x:v>
      </x:c>
      <x:c r="B15" t="str">
        <x:v>Dune Media</x:v>
      </x:c>
      <x:c r="C15" s="10" t="n">
        <x:v>46146</x:v>
      </x:c>
      <x:c r="D15" s="10" t="n">
        <x:v>46176</x:v>
      </x:c>
      <x:c r="E15" s="26" t="n">
        <x:v>6450</x:v>
      </x:c>
    </x:row>
    <x:row r="16" ht="21" customHeight="1">
      <x:c r="A16" t="str">
        <x:v>INV-2605-203</x:v>
      </x:c>
      <x:c r="B16" t="str">
        <x:v>Garnet Works</x:v>
      </x:c>
      <x:c r="C16" s="10" t="n">
        <x:v>46148</x:v>
      </x:c>
      <x:c r="D16" s="10" t="n">
        <x:v>46178</x:v>
      </x:c>
      <x:c r="E16" s="26" t="n">
        <x:v>7200</x:v>
      </x:c>
    </x:row>
    <x:row r="17" ht="21" customHeight="1">
      <x:c r="A17" t="str">
        <x:v>INV-2605-204</x:v>
      </x:c>
      <x:c r="B17" t="str">
        <x:v>Beacon Foods</x:v>
      </x:c>
      <x:c r="C17" s="10" t="n">
        <x:v>46150</x:v>
      </x:c>
      <x:c r="D17" s="10" t="n">
        <x:v>46180</x:v>
      </x:c>
      <x:c r="E17" s="26" t="n">
        <x:v>3900</x:v>
      </x:c>
    </x:row>
    <x:row r="18" ht="21" customHeight="1">
      <x:c r="A18" t="str">
        <x:v>INV-2605-205</x:v>
      </x:c>
      <x:c r="B18" t="str">
        <x:v>Evergreen Tech</x:v>
      </x:c>
      <x:c r="C18" s="10" t="n">
        <x:v>46152</x:v>
      </x:c>
      <x:c r="D18" s="10" t="n">
        <x:v>46182</x:v>
      </x:c>
      <x:c r="E18" s="26" t="n">
        <x:v>8200</x:v>
      </x:c>
    </x:row>
    <x:row r="19" ht="21" customHeight="1">
      <x:c r="A19" t="str">
        <x:v>INV-2605-206</x:v>
      </x:c>
      <x:c r="B19" t="str">
        <x:v>Harbor Services</x:v>
      </x:c>
      <x:c r="C19" s="10" t="n">
        <x:v>46154</x:v>
      </x:c>
      <x:c r="D19" s="10" t="n">
        <x:v>46184</x:v>
      </x:c>
      <x:c r="E19" s="26" t="n">
        <x:v>4550</x:v>
      </x:c>
    </x:row>
    <x:row r="20" ht="21" customHeight="1">
      <x:c r="A20" t="str">
        <x:v>INV-2605-207</x:v>
      </x:c>
      <x:c r="B20" t="str">
        <x:v>Cedar Logistics</x:v>
      </x:c>
      <x:c r="C20" s="10" t="n">
        <x:v>46156</x:v>
      </x:c>
      <x:c r="D20" s="10" t="n">
        <x:v>46186</x:v>
      </x:c>
      <x:c r="E20" s="26" t="n">
        <x:v>5100</x:v>
      </x:c>
    </x:row>
    <x:row r="21" ht="21" customHeight="1">
      <x:c r="A21" t="str">
        <x:v>INV-2605-208</x:v>
      </x:c>
      <x:c r="B21" t="str">
        <x:v>Falcon Supply</x:v>
      </x:c>
      <x:c r="C21" s="10" t="n">
        <x:v>46158</x:v>
      </x:c>
      <x:c r="D21" s="10" t="n">
        <x:v>46188</x:v>
      </x:c>
      <x:c r="E21" s="26" t="n">
        <x:v>6700</x:v>
      </x:c>
    </x:row>
    <x:row r="22" ht="21" customHeight="1">
      <x:c r="A22" t="str">
        <x:v>INV-2605-209</x:v>
      </x:c>
      <x:c r="B22" t="str">
        <x:v>Aster Retail</x:v>
      </x:c>
      <x:c r="C22" s="10" t="n">
        <x:v>46160</x:v>
      </x:c>
      <x:c r="D22" s="10" t="n">
        <x:v>46190</x:v>
      </x:c>
      <x:c r="E22" s="26" t="n">
        <x:v>5900</x:v>
      </x:c>
    </x:row>
    <x:row r="23" ht="21" customHeight="1">
      <x:c r="A23" t="str">
        <x:v>INV-2605-210</x:v>
      </x:c>
      <x:c r="B23" t="str">
        <x:v>Dune Media</x:v>
      </x:c>
      <x:c r="C23" s="10" t="n">
        <x:v>46162</x:v>
      </x:c>
      <x:c r="D23" s="10" t="n">
        <x:v>46192</x:v>
      </x:c>
      <x:c r="E23" s="26" t="n">
        <x:v>7350</x:v>
      </x:c>
    </x:row>
    <x:row r="24" ht="21" customHeight="1">
      <x:c r="A24" t="str">
        <x:v>INV-2605-211</x:v>
      </x:c>
      <x:c r="B24" t="str">
        <x:v>Garnet Works</x:v>
      </x:c>
      <x:c r="C24" s="10" t="n">
        <x:v>46164</x:v>
      </x:c>
      <x:c r="D24" s="10" t="n">
        <x:v>46194</x:v>
      </x:c>
      <x:c r="E24" s="26" t="n">
        <x:v>4800</x:v>
      </x:c>
    </x:row>
    <x:row r="25" ht="21" customHeight="1">
      <x:c r="A25" t="str">
        <x:v>INV-2605-212</x:v>
      </x:c>
      <x:c r="B25" t="str">
        <x:v>Beacon Foods</x:v>
      </x:c>
      <x:c r="C25" s="10" t="n">
        <x:v>46166</x:v>
      </x:c>
      <x:c r="D25" s="10" t="n">
        <x:v>46196</x:v>
      </x:c>
      <x:c r="E25" s="26" t="n">
        <x:v>6200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18" hidden="0" customWidth="1"/>
    <x:col min="4" max="4" width="20" hidden="0" customWidth="1"/>
    <x:col min="5" max="5" width="28" hidden="0" customWidth="1"/>
  </x:cols>
  <x:sheetData>
    <x:row r="1">
      <x:c r="A1" s="8" t="str">
        <x:v>SOURCE 04  •  CUSTOMER RECEIPTS</x:v>
      </x:c>
      <x:c r="B1" s="8"/>
      <x:c r="C1" s="8"/>
      <x:c r="D1" s="8"/>
      <x:c r="E1" s="8"/>
    </x:row>
    <x:row r="2">
      <x:c r="A2" s="8"/>
      <x:c r="B2" s="8"/>
      <x:c r="C2" s="8"/>
      <x:c r="D2" s="8"/>
      <x:c r="E2" s="8"/>
    </x:row>
    <x:row r="5" ht="29" customHeight="1">
      <x:c r="A5" s="24" t="str">
        <x:v>Receipt ID</x:v>
      </x:c>
      <x:c r="B5" s="24" t="str">
        <x:v>Invoice ID</x:v>
      </x:c>
      <x:c r="C5" s="24" t="str">
        <x:v>Paid date</x:v>
      </x:c>
      <x:c r="D5" s="24" t="str">
        <x:v>Amount (USD)</x:v>
      </x:c>
      <x:c r="E5" s="24" t="str">
        <x:v>Customer</x:v>
      </x:c>
    </x:row>
    <x:row r="6" ht="21" customHeight="1">
      <x:c r="A6" t="str">
        <x:v>REC-001</x:v>
      </x:c>
      <x:c r="B6" t="str">
        <x:v>INV-2603-101</x:v>
      </x:c>
      <x:c r="C6" s="10" t="n">
        <x:v>46147</x:v>
      </x:c>
      <x:c r="D6" s="26" t="n">
        <x:v>5400</x:v>
      </x:c>
      <x:c r="E6" t="str">
        <x:v>Aster Retail</x:v>
      </x:c>
    </x:row>
    <x:row r="7" ht="21" customHeight="1">
      <x:c r="A7" t="str">
        <x:v>REC-002</x:v>
      </x:c>
      <x:c r="B7" t="str">
        <x:v>INV-2604-102</x:v>
      </x:c>
      <x:c r="C7" s="10" t="n">
        <x:v>46151</x:v>
      </x:c>
      <x:c r="D7" s="26" t="n">
        <x:v>1300</x:v>
      </x:c>
      <x:c r="E7" t="str">
        <x:v>Dune Media</x:v>
      </x:c>
    </x:row>
    <x:row r="8" ht="21" customHeight="1">
      <x:c r="A8" t="str">
        <x:v>REC-003</x:v>
      </x:c>
      <x:c r="B8" t="str">
        <x:v>INV-2604-103</x:v>
      </x:c>
      <x:c r="C8" s="10" t="n">
        <x:v>46153</x:v>
      </x:c>
      <x:c r="D8" s="26" t="n">
        <x:v>2100</x:v>
      </x:c>
      <x:c r="E8" t="str">
        <x:v>Garnet Works</x:v>
      </x:c>
    </x:row>
    <x:row r="9" ht="21" customHeight="1">
      <x:c r="A9" t="str">
        <x:v>REC-004</x:v>
      </x:c>
      <x:c r="B9" t="str">
        <x:v>INV-2604-104</x:v>
      </x:c>
      <x:c r="C9" s="10" t="n">
        <x:v>46160</x:v>
      </x:c>
      <x:c r="D9" s="26" t="n">
        <x:v>3100</x:v>
      </x:c>
      <x:c r="E9" t="str">
        <x:v>Beacon Foods</x:v>
      </x:c>
    </x:row>
    <x:row r="10" ht="21" customHeight="1">
      <x:c r="A10" t="str">
        <x:v>REC-005</x:v>
      </x:c>
      <x:c r="B10" t="str">
        <x:v>INV-2604-105</x:v>
      </x:c>
      <x:c r="C10" s="10" t="n">
        <x:v>46163</x:v>
      </x:c>
      <x:c r="D10" s="26" t="n">
        <x:v>1650</x:v>
      </x:c>
      <x:c r="E10" t="str">
        <x:v>Evergreen Tech</x:v>
      </x:c>
    </x:row>
    <x:row r="11" ht="21" customHeight="1">
      <x:c r="A11" t="str">
        <x:v>REC-006</x:v>
      </x:c>
      <x:c r="B11" t="str">
        <x:v>INV-2604-106</x:v>
      </x:c>
      <x:c r="C11" s="10" t="n">
        <x:v>46169</x:v>
      </x:c>
      <x:c r="D11" s="26" t="n">
        <x:v>1400</x:v>
      </x:c>
      <x:c r="E11" t="str">
        <x:v>Harbor Services</x:v>
      </x:c>
    </x:row>
    <x:row r="12" ht="21" customHeight="1">
      <x:c r="A12" t="str">
        <x:v>REC-007</x:v>
      </x:c>
      <x:c r="B12" t="str">
        <x:v>INV-2604-107</x:v>
      </x:c>
      <x:c r="C12" s="10" t="n">
        <x:v>46171</x:v>
      </x:c>
      <x:c r="D12" s="26" t="n">
        <x:v>2900</x:v>
      </x:c>
      <x:c r="E12" t="str">
        <x:v>Cedar Logistics</x:v>
      </x:c>
    </x:row>
    <x:row r="13" ht="21" customHeight="1">
      <x:c r="A13" t="str">
        <x:v>REC-008</x:v>
      </x:c>
      <x:c r="B13" t="str">
        <x:v>INV-2605-201</x:v>
      </x:c>
      <x:c r="C13" s="10" t="n">
        <x:v>46154</x:v>
      </x:c>
      <x:c r="D13" s="26" t="n">
        <x:v>5750</x:v>
      </x:c>
      <x:c r="E13" t="str">
        <x:v>Aster Retail</x:v>
      </x:c>
    </x:row>
    <x:row r="14" ht="21" customHeight="1">
      <x:c r="A14" t="str">
        <x:v>REC-009</x:v>
      </x:c>
      <x:c r="B14" t="str">
        <x:v>INV-2605-202</x:v>
      </x:c>
      <x:c r="C14" s="10" t="n">
        <x:v>46160</x:v>
      </x:c>
      <x:c r="D14" s="26" t="n">
        <x:v>3000</x:v>
      </x:c>
      <x:c r="E14" t="str">
        <x:v>Dune Media</x:v>
      </x:c>
    </x:row>
    <x:row r="15" ht="21" customHeight="1">
      <x:c r="A15" t="str">
        <x:v>REC-010</x:v>
      </x:c>
      <x:c r="B15" t="str">
        <x:v>INV-2605-203</x:v>
      </x:c>
      <x:c r="C15" s="10" t="n">
        <x:v>46166</x:v>
      </x:c>
      <x:c r="D15" s="26" t="n">
        <x:v>7200</x:v>
      </x:c>
      <x:c r="E15" t="str">
        <x:v>Garnet Works</x:v>
      </x:c>
    </x:row>
    <x:row r="16" ht="21" customHeight="1">
      <x:c r="A16" t="str">
        <x:v>REC-011</x:v>
      </x:c>
      <x:c r="B16" t="str">
        <x:v>INV-2605-204</x:v>
      </x:c>
      <x:c r="C16" s="10" t="n">
        <x:v>46169</x:v>
      </x:c>
      <x:c r="D16" s="26" t="n">
        <x:v>3900</x:v>
      </x:c>
      <x:c r="E16" t="str">
        <x:v>Beacon Foods</x:v>
      </x:c>
    </x:row>
    <x:row r="17" ht="21" customHeight="1">
      <x:c r="A17" t="str">
        <x:v>REC-012</x:v>
      </x:c>
      <x:c r="B17" t="str">
        <x:v>INV-2605-205</x:v>
      </x:c>
      <x:c r="C17" s="10" t="n">
        <x:v>46171</x:v>
      </x:c>
      <x:c r="D17" s="26" t="n">
        <x:v>4800</x:v>
      </x:c>
      <x:c r="E17" t="str">
        <x:v>Evergreen Tech</x:v>
      </x:c>
    </x:row>
    <x:row r="18" ht="21" customHeight="1">
      <x:c r="A18" t="str">
        <x:v>REC-013</x:v>
      </x:c>
      <x:c r="B18" t="str">
        <x:v>INV-2605-206</x:v>
      </x:c>
      <x:c r="C18" s="10" t="n">
        <x:v>46172</x:v>
      </x:c>
      <x:c r="D18" s="26" t="n">
        <x:v>2000</x:v>
      </x:c>
      <x:c r="E18" t="str">
        <x:v>Harbor Services</x:v>
      </x:c>
    </x:row>
    <x:row r="19" ht="21" customHeight="1">
      <x:c r="A19" t="str">
        <x:v>REC-014</x:v>
      </x:c>
      <x:c r="B19" t="str">
        <x:v>INV-2605-207</x:v>
      </x:c>
      <x:c r="C19" s="10" t="n">
        <x:v>46173</x:v>
      </x:c>
      <x:c r="D19" s="26" t="n">
        <x:v>4550</x:v>
      </x:c>
      <x:c r="E19" t="str">
        <x:v>Cedar Logistics</x:v>
      </x:c>
    </x:row>
    <x:row r="20" ht="21" customHeight="1">
      <x:c r="A20" t="str">
        <x:v>REC-AFTER</x:v>
      </x:c>
      <x:c r="B20" t="str">
        <x:v>INV-2604-108</x:v>
      </x:c>
      <x:c r="C20" s="10" t="n">
        <x:v>46176</x:v>
      </x:c>
      <x:c r="D20" s="26" t="n">
        <x:v>1000</x:v>
      </x:c>
      <x:c r="E20" t="str">
        <x:v>Falcon Supply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3" hidden="0" customWidth="1"/>
    <x:col min="3" max="3" width="18" hidden="0" customWidth="1"/>
    <x:col min="4" max="4" width="20" hidden="0" customWidth="1"/>
    <x:col min="5" max="5" width="45" hidden="0" customWidth="1"/>
  </x:cols>
  <x:sheetData>
    <x:row r="1">
      <x:c r="A1" s="8" t="str">
        <x:v>SOURCE 05  •  CREDIT NOTES</x:v>
      </x:c>
      <x:c r="B1" s="8"/>
      <x:c r="C1" s="8"/>
      <x:c r="D1" s="8"/>
      <x:c r="E1" s="8"/>
    </x:row>
    <x:row r="2">
      <x:c r="A2" s="8"/>
      <x:c r="B2" s="8"/>
      <x:c r="C2" s="8"/>
      <x:c r="D2" s="8"/>
      <x:c r="E2" s="8"/>
    </x:row>
    <x:row r="5" ht="29" customHeight="1">
      <x:c r="A5" s="24" t="str">
        <x:v>Credit ID</x:v>
      </x:c>
      <x:c r="B5" s="24" t="str">
        <x:v>Invoice ID</x:v>
      </x:c>
      <x:c r="C5" s="24" t="str">
        <x:v>Approved date</x:v>
      </x:c>
      <x:c r="D5" s="24" t="str">
        <x:v>Amount (USD)</x:v>
      </x:c>
      <x:c r="E5" s="24" t="str">
        <x:v>Explanation</x:v>
      </x:c>
    </x:row>
    <x:row r="6" ht="21" customHeight="1">
      <x:c r="A6" t="str">
        <x:v>CN-001</x:v>
      </x:c>
      <x:c r="B6" t="str">
        <x:v>INV-2604-102</x:v>
      </x:c>
      <x:c r="C6" s="10" t="n">
        <x:v>46165</x:v>
      </x:c>
      <x:c r="D6" s="26" t="n">
        <x:v>180</x:v>
      </x:c>
      <x:c r="E6" t="str">
        <x:v>Service credit / approved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9" hidden="0" customWidth="1"/>
    <x:col min="3" max="3" width="21" hidden="0" customWidth="1"/>
    <x:col min="4" max="4" width="18" hidden="0" customWidth="1"/>
  </x:cols>
  <x:sheetData>
    <x:row r="1">
      <x:c r="A1" s="8" t="str">
        <x:v>SOURCE 06  •  MAY BUDGET</x:v>
      </x:c>
      <x:c r="B1" s="8"/>
      <x:c r="C1" s="8"/>
      <x:c r="D1" s="8"/>
    </x:row>
    <x:row r="2">
      <x:c r="A2" s="8"/>
      <x:c r="B2" s="8"/>
      <x:c r="C2" s="8"/>
      <x:c r="D2" s="8"/>
    </x:row>
    <x:row r="5" ht="29" customHeight="1">
      <x:c r="A5" s="24" t="str">
        <x:v>Account</x:v>
      </x:c>
      <x:c r="B5" s="24" t="str">
        <x:v>Report line</x:v>
      </x:c>
      <x:c r="C5" s="24" t="str">
        <x:v>Budget (USD)</x:v>
      </x:c>
      <x:c r="D5" s="24" t="str">
        <x:v>Type</x:v>
      </x:c>
    </x:row>
    <x:row r="6" ht="21" customHeight="1">
      <x:c r="A6" t="n">
        <x:v>4000</x:v>
      </x:c>
      <x:c r="B6" t="str">
        <x:v>Revenue</x:v>
      </x:c>
      <x:c r="C6" s="26" t="n">
        <x:v>73000</x:v>
      </x:c>
      <x:c r="D6" t="str">
        <x:v>Income</x:v>
      </x:c>
    </x:row>
    <x:row r="7" ht="21" customHeight="1">
      <x:c r="A7" t="n">
        <x:v>5000</x:v>
      </x:c>
      <x:c r="B7" t="str">
        <x:v>Delivery cost</x:v>
      </x:c>
      <x:c r="C7" s="26" t="n">
        <x:v>11500</x:v>
      </x:c>
      <x:c r="D7" t="str">
        <x:v>Expense</x:v>
      </x:c>
    </x:row>
    <x:row r="8" ht="21" customHeight="1">
      <x:c r="A8" t="n">
        <x:v>6100</x:v>
      </x:c>
      <x:c r="B8" t="str">
        <x:v>Payroll</x:v>
      </x:c>
      <x:c r="C8" s="26" t="n">
        <x:v>17300</x:v>
      </x:c>
      <x:c r="D8" t="str">
        <x:v>Expense</x:v>
      </x:c>
    </x:row>
    <x:row r="9" ht="21" customHeight="1">
      <x:c r="A9" t="n">
        <x:v>6200</x:v>
      </x:c>
      <x:c r="B9" t="str">
        <x:v>Rent</x:v>
      </x:c>
      <x:c r="C9" s="26" t="n">
        <x:v>3900</x:v>
      </x:c>
      <x:c r="D9" t="str">
        <x:v>Expense</x:v>
      </x:c>
    </x:row>
    <x:row r="10" ht="21" customHeight="1">
      <x:c r="A10" t="n">
        <x:v>6300</x:v>
      </x:c>
      <x:c r="B10" t="str">
        <x:v>Marketing</x:v>
      </x:c>
      <x:c r="C10" s="26" t="n">
        <x:v>3600</x:v>
      </x:c>
      <x:c r="D10" t="str">
        <x:v>Expense</x:v>
      </x:c>
    </x:row>
    <x:row r="11" ht="21" customHeight="1">
      <x:c r="A11" t="n">
        <x:v>6400</x:v>
      </x:c>
      <x:c r="B11" t="str">
        <x:v>Software</x:v>
      </x:c>
      <x:c r="C11" s="26" t="n">
        <x:v>2200</x:v>
      </x:c>
      <x:c r="D11" t="str">
        <x:v>Expense</x:v>
      </x:c>
    </x:row>
    <x:row r="12" ht="21" customHeight="1">
      <x:c r="A12" t="n">
        <x:v>6500</x:v>
      </x:c>
      <x:c r="B12" t="str">
        <x:v>Utilities</x:v>
      </x:c>
      <x:c r="C12" s="26" t="n">
        <x:v>1300</x:v>
      </x:c>
      <x:c r="D12" t="str">
        <x:v>Expense</x:v>
      </x:c>
    </x:row>
    <x:row r="13" ht="21" customHeight="1">
      <x:c r="A13" t="n">
        <x:v>6600</x:v>
      </x:c>
      <x:c r="B13" t="str">
        <x:v>Bank fees</x:v>
      </x:c>
      <x:c r="C13" s="26" t="n">
        <x:v>50</x:v>
      </x:c>
      <x:c r="D13" t="str">
        <x:v>Expense</x:v>
      </x:c>
    </x:row>
    <x:row r="14" ht="21" customHeight="1">
      <x:c r="A14" t="n">
        <x:v>7100</x:v>
      </x:c>
      <x:c r="B14" t="str">
        <x:v>Interest income</x:v>
      </x:c>
      <x:c r="C14" s="26" t="n">
        <x:v>10</x:v>
      </x:c>
      <x:c r="D14" t="str">
        <x:v>Income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20" hidden="0" customWidth="1"/>
    <x:col min="3" max="3" width="50" hidden="0" customWidth="1"/>
  </x:cols>
  <x:sheetData>
    <x:row r="1">
      <x:c r="A1" s="8" t="str">
        <x:v>SUPPORT  •  DOCUMENTED TIMING DIFFERENCES</x:v>
      </x:c>
      <x:c r="B1" s="8"/>
      <x:c r="C1" s="8"/>
    </x:row>
    <x:row r="2">
      <x:c r="A2" s="8"/>
      <x:c r="B2" s="8"/>
      <x:c r="C2" s="8"/>
    </x:row>
    <x:row r="5" ht="29" customHeight="1">
      <x:c r="A5" s="24" t="str">
        <x:v>Reference</x:v>
      </x:c>
      <x:c r="B5" s="24" t="str">
        <x:v>Cleared date</x:v>
      </x:c>
      <x:c r="C5" s="24" t="str">
        <x:v>Independent support</x:v>
      </x:c>
    </x:row>
    <x:row r="6" ht="21" customHeight="1">
      <x:c r="A6" t="str">
        <x:v>REC-014</x:v>
      </x:c>
      <x:c r="B6" s="10" t="n">
        <x:v>46175</x:v>
      </x:c>
      <x:c r="C6" t="str">
        <x:v>June bank advice (deposit in transit)</x:v>
      </x:c>
    </x:row>
    <x:row r="7" ht="21" customHeight="1">
      <x:c r="A7" t="str">
        <x:v>PAY-013</x:v>
      </x:c>
      <x:c r="B7" s="10" t="n">
        <x:v>46175</x:v>
      </x:c>
      <x:c r="C7" t="str">
        <x:v>June bank advice (outstanding payment)</x:v>
      </x:c>
    </x:row>
    <x:row r="8" ht="21" customHeight="1">
      <x:c r="A8" t="str">
        <x:v>PAY-014</x:v>
      </x:c>
      <x:c r="B8" s="10" t="n">
        <x:v>46176</x:v>
      </x:c>
      <x:c r="C8" t="str">
        <x:v>June bank advice (outstanding payment)</x:v>
      </x:c>
    </x:row>
    <x:row r="13">
      <x:c r="A13" t="str">
        <x:v>No evidence = INVESTIGATE. Do not invent clearance evidence to make the reconciliation balance.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0" hidden="0" customWidth="1"/>
    <x:col min="3" max="3" width="20" hidden="0" customWidth="1"/>
    <x:col min="4" max="4" width="22" hidden="0" customWidth="1"/>
    <x:col min="5" max="5" width="19" hidden="0" customWidth="1"/>
    <x:col min="6" max="6" width="19" hidden="0" customWidth="1"/>
    <x:col min="7" max="7" width="24" hidden="0" customWidth="1"/>
    <x:col min="8" max="8" width="25" hidden="0" customWidth="1"/>
  </x:cols>
  <x:sheetData>
    <x:row r="1">
      <x:c r="A1" s="8" t="str">
        <x:v>WORKPAPER A  •  CASH TRANSACTION MATCHING</x:v>
      </x:c>
      <x:c r="B1" s="8"/>
      <x:c r="C1" s="8"/>
      <x:c r="D1" s="8"/>
      <x:c r="E1" s="8"/>
      <x:c r="F1" s="8"/>
      <x:c r="G1" s="8"/>
      <x:c r="H1" s="8"/>
    </x:row>
    <x:row r="2">
      <x:c r="A2" s="8"/>
      <x:c r="B2" s="8"/>
      <x:c r="C2" s="8"/>
      <x:c r="D2" s="8"/>
      <x:c r="E2" s="8"/>
      <x:c r="F2" s="8"/>
      <x:c r="G2" s="8"/>
      <x:c r="H2" s="8"/>
    </x:row>
    <x:row r="5" ht="29" customHeight="1">
      <x:c r="A5" s="24" t="str">
        <x:v>Journal ID</x:v>
      </x:c>
      <x:c r="B5" s="24" t="str">
        <x:v>Reference</x:v>
      </x:c>
      <x:c r="C5" s="24" t="str">
        <x:v>Posted date</x:v>
      </x:c>
      <x:c r="D5" s="24" t="str">
        <x:v>Book signed (USD)</x:v>
      </x:c>
      <x:c r="E5" s="24" t="str">
        <x:v>Bank match count</x:v>
      </x:c>
      <x:c r="F5" s="24" t="str">
        <x:v>Evidence count</x:v>
      </x:c>
      <x:c r="G5" s="24" t="str">
        <x:v>Conclusion</x:v>
      </x:c>
      <x:c r="H5" s="24" t="str">
        <x:v>Review</x:v>
      </x:c>
    </x:row>
    <x:row r="6">
      <x:c r="A6" s="30" t="str">
        <x:f>GL_EXPORT!A30</x:f>
        <x:v>JR-REC-001</x:v>
      </x:c>
      <x:c r="B6" s="30" t="str">
        <x:f>GL_EXPORT!C30</x:f>
        <x:v>REC-001</x:v>
      </x:c>
      <x:c r="C6" s="31" t="n">
        <x:f>GL_EXPORT!B30</x:f>
        <x:v>46147</x:v>
      </x:c>
      <x:c r="D6" s="32" t="n">
        <x:f>GL_EXPORT!G30-GL_EXPORT!H30</x:f>
        <x:v>5400</x:v>
      </x:c>
      <x:c r="E6" t="n">
        <x:f>COUNTIFS(BANK_EXPORT!$C$6:$C$33,B6,BANK_EXPORT!$D$6:$D$33,D6)</x:f>
        <x:v>1</x:v>
      </x:c>
      <x:c r="F6" t="n">
        <x:f>COUNTIF(TIMING_EVIDENCE!$A$6:$A$8,B6)</x:f>
        <x:v>0</x:v>
      </x:c>
      <x:c r="G6" t="str">
        <x:f>IF(E6=1,"MATCHED",IF(AND(E6=0,F6=1,D6&gt;0),"DEPOSIT IN TRANSIT",IF(AND(E6=0,F6=1,D6&lt;0),"OUTSTANDING PAYMENT","INVESTIGATE")))</x:f>
        <x:v>MATCHED</x:v>
      </x:c>
      <x:c r="H6" t="str">
        <x:f>IF(AND(E6&gt;1,""&lt;&gt;B6),"Duplicate bank match",IF(G6="INVESTIGATE","Investigate bank/source", ""))</x:f>
      </x:c>
    </x:row>
    <x:row r="7">
      <x:c r="A7" s="30" t="str">
        <x:f>GL_EXPORT!A32</x:f>
        <x:v>JR-REC-002</x:v>
      </x:c>
      <x:c r="B7" s="30" t="str">
        <x:f>GL_EXPORT!C32</x:f>
        <x:v>REC-002</x:v>
      </x:c>
      <x:c r="C7" s="31" t="n">
        <x:f>GL_EXPORT!B32</x:f>
        <x:v>46151</x:v>
      </x:c>
      <x:c r="D7" s="32" t="n">
        <x:f>GL_EXPORT!G32-GL_EXPORT!H32</x:f>
        <x:v>1300</x:v>
      </x:c>
      <x:c r="E7" t="n">
        <x:f>COUNTIFS(BANK_EXPORT!$C$6:$C$33,B7,BANK_EXPORT!$D$6:$D$33,D7)</x:f>
        <x:v>1</x:v>
      </x:c>
      <x:c r="F7" t="n">
        <x:f>COUNTIF(TIMING_EVIDENCE!$A$6:$A$8,B7)</x:f>
        <x:v>0</x:v>
      </x:c>
      <x:c r="G7" t="str">
        <x:f>IF(E7=1,"MATCHED",IF(AND(E7=0,F7=1,D7&gt;0),"DEPOSIT IN TRANSIT",IF(AND(E7=0,F7=1,D7&lt;0),"OUTSTANDING PAYMENT","INVESTIGATE")))</x:f>
        <x:v>MATCHED</x:v>
      </x:c>
      <x:c r="H7" t="str">
        <x:f>IF(AND(E7&gt;1,""&lt;&gt;B7),"Duplicate bank match",IF(G7="INVESTIGATE","Investigate bank/source", ""))</x:f>
      </x:c>
    </x:row>
    <x:row r="8">
      <x:c r="A8" s="30" t="str">
        <x:f>GL_EXPORT!A34</x:f>
        <x:v>JR-REC-003</x:v>
      </x:c>
      <x:c r="B8" s="30" t="str">
        <x:f>GL_EXPORT!C34</x:f>
        <x:v>REC-003</x:v>
      </x:c>
      <x:c r="C8" s="31" t="n">
        <x:f>GL_EXPORT!B34</x:f>
        <x:v>46153</x:v>
      </x:c>
      <x:c r="D8" s="32" t="n">
        <x:f>GL_EXPORT!G34-GL_EXPORT!H34</x:f>
        <x:v>2100</x:v>
      </x:c>
      <x:c r="E8" t="n">
        <x:f>COUNTIFS(BANK_EXPORT!$C$6:$C$33,B8,BANK_EXPORT!$D$6:$D$33,D8)</x:f>
        <x:v>1</x:v>
      </x:c>
      <x:c r="F8" t="n">
        <x:f>COUNTIF(TIMING_EVIDENCE!$A$6:$A$8,B8)</x:f>
        <x:v>0</x:v>
      </x:c>
      <x:c r="G8" t="str">
        <x:f>IF(E8=1,"MATCHED",IF(AND(E8=0,F8=1,D8&gt;0),"DEPOSIT IN TRANSIT",IF(AND(E8=0,F8=1,D8&lt;0),"OUTSTANDING PAYMENT","INVESTIGATE")))</x:f>
        <x:v>MATCHED</x:v>
      </x:c>
      <x:c r="H8" t="str">
        <x:f>IF(AND(E8&gt;1,""&lt;&gt;B8),"Duplicate bank match",IF(G8="INVESTIGATE","Investigate bank/source", ""))</x:f>
      </x:c>
    </x:row>
    <x:row r="9">
      <x:c r="A9" s="30" t="str">
        <x:f>GL_EXPORT!A36</x:f>
        <x:v>JR-REC-004</x:v>
      </x:c>
      <x:c r="B9" s="30" t="str">
        <x:f>GL_EXPORT!C36</x:f>
        <x:v>REC-004</x:v>
      </x:c>
      <x:c r="C9" s="31" t="n">
        <x:f>GL_EXPORT!B36</x:f>
        <x:v>46160</x:v>
      </x:c>
      <x:c r="D9" s="32" t="n">
        <x:f>GL_EXPORT!G36-GL_EXPORT!H36</x:f>
        <x:v>3100</x:v>
      </x:c>
      <x:c r="E9" t="n">
        <x:f>COUNTIFS(BANK_EXPORT!$C$6:$C$33,B9,BANK_EXPORT!$D$6:$D$33,D9)</x:f>
        <x:v>1</x:v>
      </x:c>
      <x:c r="F9" t="n">
        <x:f>COUNTIF(TIMING_EVIDENCE!$A$6:$A$8,B9)</x:f>
        <x:v>0</x:v>
      </x:c>
      <x:c r="G9" t="str">
        <x:f>IF(E9=1,"MATCHED",IF(AND(E9=0,F9=1,D9&gt;0),"DEPOSIT IN TRANSIT",IF(AND(E9=0,F9=1,D9&lt;0),"OUTSTANDING PAYMENT","INVESTIGATE")))</x:f>
        <x:v>MATCHED</x:v>
      </x:c>
      <x:c r="H9" t="str">
        <x:f>IF(AND(E9&gt;1,""&lt;&gt;B9),"Duplicate bank match",IF(G9="INVESTIGATE","Investigate bank/source", ""))</x:f>
      </x:c>
    </x:row>
    <x:row r="10">
      <x:c r="A10" s="30" t="str">
        <x:f>GL_EXPORT!A38</x:f>
        <x:v>JR-REC-005</x:v>
      </x:c>
      <x:c r="B10" s="30" t="str">
        <x:f>GL_EXPORT!C38</x:f>
        <x:v>REC-005</x:v>
      </x:c>
      <x:c r="C10" s="31" t="n">
        <x:f>GL_EXPORT!B38</x:f>
        <x:v>46163</x:v>
      </x:c>
      <x:c r="D10" s="32" t="n">
        <x:f>GL_EXPORT!G38-GL_EXPORT!H38</x:f>
        <x:v>1650</x:v>
      </x:c>
      <x:c r="E10" t="n">
        <x:f>COUNTIFS(BANK_EXPORT!$C$6:$C$33,B10,BANK_EXPORT!$D$6:$D$33,D10)</x:f>
        <x:v>1</x:v>
      </x:c>
      <x:c r="F10" t="n">
        <x:f>COUNTIF(TIMING_EVIDENCE!$A$6:$A$8,B10)</x:f>
        <x:v>0</x:v>
      </x:c>
      <x:c r="G10" t="str">
        <x:f>IF(E10=1,"MATCHED",IF(AND(E10=0,F10=1,D10&gt;0),"DEPOSIT IN TRANSIT",IF(AND(E10=0,F10=1,D10&lt;0),"OUTSTANDING PAYMENT","INVESTIGATE")))</x:f>
        <x:v>MATCHED</x:v>
      </x:c>
      <x:c r="H10" t="str">
        <x:f>IF(AND(E10&gt;1,""&lt;&gt;B10),"Duplicate bank match",IF(G10="INVESTIGATE","Investigate bank/source", ""))</x:f>
      </x:c>
    </x:row>
    <x:row r="11">
      <x:c r="A11" s="30" t="str">
        <x:f>GL_EXPORT!A40</x:f>
        <x:v>JR-REC-006</x:v>
      </x:c>
      <x:c r="B11" s="30" t="str">
        <x:f>GL_EXPORT!C40</x:f>
        <x:v>REC-006</x:v>
      </x:c>
      <x:c r="C11" s="31" t="n">
        <x:f>GL_EXPORT!B40</x:f>
        <x:v>46169</x:v>
      </x:c>
      <x:c r="D11" s="32" t="n">
        <x:f>GL_EXPORT!G40-GL_EXPORT!H40</x:f>
        <x:v>1400</x:v>
      </x:c>
      <x:c r="E11" t="n">
        <x:f>COUNTIFS(BANK_EXPORT!$C$6:$C$33,B11,BANK_EXPORT!$D$6:$D$33,D11)</x:f>
        <x:v>1</x:v>
      </x:c>
      <x:c r="F11" t="n">
        <x:f>COUNTIF(TIMING_EVIDENCE!$A$6:$A$8,B11)</x:f>
        <x:v>0</x:v>
      </x:c>
      <x:c r="G11" t="str">
        <x:f>IF(E11=1,"MATCHED",IF(AND(E11=0,F11=1,D11&gt;0),"DEPOSIT IN TRANSIT",IF(AND(E11=0,F11=1,D11&lt;0),"OUTSTANDING PAYMENT","INVESTIGATE")))</x:f>
        <x:v>MATCHED</x:v>
      </x:c>
      <x:c r="H11" t="str">
        <x:f>IF(AND(E11&gt;1,""&lt;&gt;B11),"Duplicate bank match",IF(G11="INVESTIGATE","Investigate bank/source", ""))</x:f>
      </x:c>
    </x:row>
    <x:row r="12">
      <x:c r="A12" s="30" t="str">
        <x:f>GL_EXPORT!A42</x:f>
        <x:v>JR-REC-007</x:v>
      </x:c>
      <x:c r="B12" s="30" t="str">
        <x:f>GL_EXPORT!C42</x:f>
        <x:v>REC-007</x:v>
      </x:c>
      <x:c r="C12" s="31" t="n">
        <x:f>GL_EXPORT!B42</x:f>
        <x:v>46171</x:v>
      </x:c>
      <x:c r="D12" s="32" t="n">
        <x:f>GL_EXPORT!G42-GL_EXPORT!H42</x:f>
        <x:v>2900</x:v>
      </x:c>
      <x:c r="E12" t="n">
        <x:f>COUNTIFS(BANK_EXPORT!$C$6:$C$33,B12,BANK_EXPORT!$D$6:$D$33,D12)</x:f>
        <x:v>1</x:v>
      </x:c>
      <x:c r="F12" t="n">
        <x:f>COUNTIF(TIMING_EVIDENCE!$A$6:$A$8,B12)</x:f>
        <x:v>0</x:v>
      </x:c>
      <x:c r="G12" t="str">
        <x:f>IF(E12=1,"MATCHED",IF(AND(E12=0,F12=1,D12&gt;0),"DEPOSIT IN TRANSIT",IF(AND(E12=0,F12=1,D12&lt;0),"OUTSTANDING PAYMENT","INVESTIGATE")))</x:f>
        <x:v>MATCHED</x:v>
      </x:c>
      <x:c r="H12" t="str">
        <x:f>IF(AND(E12&gt;1,""&lt;&gt;B12),"Duplicate bank match",IF(G12="INVESTIGATE","Investigate bank/source", ""))</x:f>
      </x:c>
    </x:row>
    <x:row r="13">
      <x:c r="A13" s="30" t="str">
        <x:f>GL_EXPORT!A44</x:f>
        <x:v>JR-REC-008</x:v>
      </x:c>
      <x:c r="B13" s="30" t="str">
        <x:f>GL_EXPORT!C44</x:f>
        <x:v>REC-008</x:v>
      </x:c>
      <x:c r="C13" s="31" t="n">
        <x:f>GL_EXPORT!B44</x:f>
        <x:v>46154</x:v>
      </x:c>
      <x:c r="D13" s="32" t="n">
        <x:f>GL_EXPORT!G44-GL_EXPORT!H44</x:f>
        <x:v>5750</x:v>
      </x:c>
      <x:c r="E13" t="n">
        <x:f>COUNTIFS(BANK_EXPORT!$C$6:$C$33,B13,BANK_EXPORT!$D$6:$D$33,D13)</x:f>
        <x:v>1</x:v>
      </x:c>
      <x:c r="F13" t="n">
        <x:f>COUNTIF(TIMING_EVIDENCE!$A$6:$A$8,B13)</x:f>
        <x:v>0</x:v>
      </x:c>
      <x:c r="G13" t="str">
        <x:f>IF(E13=1,"MATCHED",IF(AND(E13=0,F13=1,D13&gt;0),"DEPOSIT IN TRANSIT",IF(AND(E13=0,F13=1,D13&lt;0),"OUTSTANDING PAYMENT","INVESTIGATE")))</x:f>
        <x:v>MATCHED</x:v>
      </x:c>
      <x:c r="H13" t="str">
        <x:f>IF(AND(E13&gt;1,""&lt;&gt;B13),"Duplicate bank match",IF(G13="INVESTIGATE","Investigate bank/source", ""))</x:f>
      </x:c>
    </x:row>
    <x:row r="14">
      <x:c r="A14" s="30" t="str">
        <x:f>GL_EXPORT!A46</x:f>
        <x:v>JR-REC-009</x:v>
      </x:c>
      <x:c r="B14" s="30" t="str">
        <x:f>GL_EXPORT!C46</x:f>
        <x:v>REC-009</x:v>
      </x:c>
      <x:c r="C14" s="31" t="n">
        <x:f>GL_EXPORT!B46</x:f>
        <x:v>46160</x:v>
      </x:c>
      <x:c r="D14" s="32" t="n">
        <x:f>GL_EXPORT!G46-GL_EXPORT!H46</x:f>
        <x:v>3000</x:v>
      </x:c>
      <x:c r="E14" t="n">
        <x:f>COUNTIFS(BANK_EXPORT!$C$6:$C$33,B14,BANK_EXPORT!$D$6:$D$33,D14)</x:f>
        <x:v>1</x:v>
      </x:c>
      <x:c r="F14" t="n">
        <x:f>COUNTIF(TIMING_EVIDENCE!$A$6:$A$8,B14)</x:f>
        <x:v>0</x:v>
      </x:c>
      <x:c r="G14" t="str">
        <x:f>IF(E14=1,"MATCHED",IF(AND(E14=0,F14=1,D14&gt;0),"DEPOSIT IN TRANSIT",IF(AND(E14=0,F14=1,D14&lt;0),"OUTSTANDING PAYMENT","INVESTIGATE")))</x:f>
        <x:v>MATCHED</x:v>
      </x:c>
      <x:c r="H14" t="str">
        <x:f>IF(AND(E14&gt;1,""&lt;&gt;B14),"Duplicate bank match",IF(G14="INVESTIGATE","Investigate bank/source", ""))</x:f>
      </x:c>
    </x:row>
    <x:row r="15">
      <x:c r="A15" s="30" t="str">
        <x:f>GL_EXPORT!A48</x:f>
        <x:v>JR-REC-010</x:v>
      </x:c>
      <x:c r="B15" s="30" t="str">
        <x:f>GL_EXPORT!C48</x:f>
        <x:v>REC-010</x:v>
      </x:c>
      <x:c r="C15" s="31" t="n">
        <x:f>GL_EXPORT!B48</x:f>
        <x:v>46166</x:v>
      </x:c>
      <x:c r="D15" s="32" t="n">
        <x:f>GL_EXPORT!G48-GL_EXPORT!H48</x:f>
        <x:v>7200</x:v>
      </x:c>
      <x:c r="E15" t="n">
        <x:f>COUNTIFS(BANK_EXPORT!$C$6:$C$33,B15,BANK_EXPORT!$D$6:$D$33,D15)</x:f>
        <x:v>1</x:v>
      </x:c>
      <x:c r="F15" t="n">
        <x:f>COUNTIF(TIMING_EVIDENCE!$A$6:$A$8,B15)</x:f>
        <x:v>0</x:v>
      </x:c>
      <x:c r="G15" t="str">
        <x:f>IF(E15=1,"MATCHED",IF(AND(E15=0,F15=1,D15&gt;0),"DEPOSIT IN TRANSIT",IF(AND(E15=0,F15=1,D15&lt;0),"OUTSTANDING PAYMENT","INVESTIGATE")))</x:f>
        <x:v>MATCHED</x:v>
      </x:c>
      <x:c r="H15" t="str">
        <x:f>IF(AND(E15&gt;1,""&lt;&gt;B15),"Duplicate bank match",IF(G15="INVESTIGATE","Investigate bank/source", ""))</x:f>
      </x:c>
    </x:row>
    <x:row r="16">
      <x:c r="A16" s="30" t="str">
        <x:f>GL_EXPORT!A50</x:f>
        <x:v>JR-REC-011</x:v>
      </x:c>
      <x:c r="B16" s="30" t="str">
        <x:f>GL_EXPORT!C50</x:f>
        <x:v>REC-011</x:v>
      </x:c>
      <x:c r="C16" s="31" t="n">
        <x:f>GL_EXPORT!B50</x:f>
        <x:v>46169</x:v>
      </x:c>
      <x:c r="D16" s="32" t="n">
        <x:f>GL_EXPORT!G50-GL_EXPORT!H50</x:f>
        <x:v>3900</x:v>
      </x:c>
      <x:c r="E16" t="n">
        <x:f>COUNTIFS(BANK_EXPORT!$C$6:$C$33,B16,BANK_EXPORT!$D$6:$D$33,D16)</x:f>
        <x:v>1</x:v>
      </x:c>
      <x:c r="F16" t="n">
        <x:f>COUNTIF(TIMING_EVIDENCE!$A$6:$A$8,B16)</x:f>
        <x:v>0</x:v>
      </x:c>
      <x:c r="G16" t="str">
        <x:f>IF(E16=1,"MATCHED",IF(AND(E16=0,F16=1,D16&gt;0),"DEPOSIT IN TRANSIT",IF(AND(E16=0,F16=1,D16&lt;0),"OUTSTANDING PAYMENT","INVESTIGATE")))</x:f>
        <x:v>MATCHED</x:v>
      </x:c>
      <x:c r="H16" t="str">
        <x:f>IF(AND(E16&gt;1,""&lt;&gt;B16),"Duplicate bank match",IF(G16="INVESTIGATE","Investigate bank/source", ""))</x:f>
      </x:c>
    </x:row>
    <x:row r="17">
      <x:c r="A17" s="30" t="str">
        <x:f>GL_EXPORT!A52</x:f>
        <x:v>JR-REC-012</x:v>
      </x:c>
      <x:c r="B17" s="30" t="str">
        <x:f>GL_EXPORT!C52</x:f>
        <x:v>REC-012</x:v>
      </x:c>
      <x:c r="C17" s="31" t="n">
        <x:f>GL_EXPORT!B52</x:f>
        <x:v>46171</x:v>
      </x:c>
      <x:c r="D17" s="32" t="n">
        <x:f>GL_EXPORT!G52-GL_EXPORT!H52</x:f>
        <x:v>4800</x:v>
      </x:c>
      <x:c r="E17" t="n">
        <x:f>COUNTIFS(BANK_EXPORT!$C$6:$C$33,B17,BANK_EXPORT!$D$6:$D$33,D17)</x:f>
        <x:v>1</x:v>
      </x:c>
      <x:c r="F17" t="n">
        <x:f>COUNTIF(TIMING_EVIDENCE!$A$6:$A$8,B17)</x:f>
        <x:v>0</x:v>
      </x:c>
      <x:c r="G17" t="str">
        <x:f>IF(E17=1,"MATCHED",IF(AND(E17=0,F17=1,D17&gt;0),"DEPOSIT IN TRANSIT",IF(AND(E17=0,F17=1,D17&lt;0),"OUTSTANDING PAYMENT","INVESTIGATE")))</x:f>
        <x:v>MATCHED</x:v>
      </x:c>
      <x:c r="H17" t="str">
        <x:f>IF(AND(E17&gt;1,""&lt;&gt;B17),"Duplicate bank match",IF(G17="INVESTIGATE","Investigate bank/source", ""))</x:f>
      </x:c>
    </x:row>
    <x:row r="18">
      <x:c r="A18" s="30" t="str">
        <x:f>GL_EXPORT!A54</x:f>
        <x:v>JR-REC-013</x:v>
      </x:c>
      <x:c r="B18" s="30" t="str">
        <x:f>GL_EXPORT!C54</x:f>
        <x:v>REC-013</x:v>
      </x:c>
      <x:c r="C18" s="31" t="n">
        <x:f>GL_EXPORT!B54</x:f>
        <x:v>46172</x:v>
      </x:c>
      <x:c r="D18" s="32" t="n">
        <x:f>GL_EXPORT!G54-GL_EXPORT!H54</x:f>
        <x:v>2000</x:v>
      </x:c>
      <x:c r="E18" t="n">
        <x:f>COUNTIFS(BANK_EXPORT!$C$6:$C$33,B18,BANK_EXPORT!$D$6:$D$33,D18)</x:f>
        <x:v>1</x:v>
      </x:c>
      <x:c r="F18" t="n">
        <x:f>COUNTIF(TIMING_EVIDENCE!$A$6:$A$8,B18)</x:f>
        <x:v>0</x:v>
      </x:c>
      <x:c r="G18" t="str">
        <x:f>IF(E18=1,"MATCHED",IF(AND(E18=0,F18=1,D18&gt;0),"DEPOSIT IN TRANSIT",IF(AND(E18=0,F18=1,D18&lt;0),"OUTSTANDING PAYMENT","INVESTIGATE")))</x:f>
        <x:v>MATCHED</x:v>
      </x:c>
      <x:c r="H18" t="str">
        <x:f>IF(AND(E18&gt;1,""&lt;&gt;B18),"Duplicate bank match",IF(G18="INVESTIGATE","Investigate bank/source", ""))</x:f>
      </x:c>
    </x:row>
    <x:row r="19">
      <x:c r="A19" s="30" t="str">
        <x:f>GL_EXPORT!A56</x:f>
        <x:v>JR-REC-014</x:v>
      </x:c>
      <x:c r="B19" s="30" t="str">
        <x:f>GL_EXPORT!C56</x:f>
        <x:v>REC-014</x:v>
      </x:c>
      <x:c r="C19" s="31" t="n">
        <x:f>GL_EXPORT!B56</x:f>
        <x:v>46173</x:v>
      </x:c>
      <x:c r="D19" s="32" t="n">
        <x:f>GL_EXPORT!G56-GL_EXPORT!H56</x:f>
        <x:v>4550</x:v>
      </x:c>
      <x:c r="E19" t="n">
        <x:f>COUNTIFS(BANK_EXPORT!$C$6:$C$33,B19,BANK_EXPORT!$D$6:$D$33,D19)</x:f>
        <x:v>0</x:v>
      </x:c>
      <x:c r="F19" t="n">
        <x:f>COUNTIF(TIMING_EVIDENCE!$A$6:$A$8,B19)</x:f>
        <x:v>1</x:v>
      </x:c>
      <x:c r="G19" t="str">
        <x:f>IF(E19=1,"MATCHED",IF(AND(E19=0,F19=1,D19&gt;0),"DEPOSIT IN TRANSIT",IF(AND(E19=0,F19=1,D19&lt;0),"OUTSTANDING PAYMENT","INVESTIGATE")))</x:f>
        <x:v>DEPOSIT IN TRANSIT</x:v>
      </x:c>
      <x:c r="H19" t="str">
        <x:f>IF(AND(E19&gt;1,""&lt;&gt;B19),"Duplicate bank match",IF(G19="INVESTIGATE","Investigate bank/source", ""))</x:f>
      </x:c>
    </x:row>
    <x:row r="20">
      <x:c r="A20" s="30" t="str">
        <x:f>GL_EXPORT!A61</x:f>
        <x:v>JR-PAY-001</x:v>
      </x:c>
      <x:c r="B20" s="30" t="str">
        <x:f>GL_EXPORT!C61</x:f>
        <x:v>PAY-001</x:v>
      </x:c>
      <x:c r="C20" s="31" t="n">
        <x:f>GL_EXPORT!B61</x:f>
        <x:v>46146</x:v>
      </x:c>
      <x:c r="D20" s="32" t="n">
        <x:f>GL_EXPORT!G61-GL_EXPORT!H61</x:f>
        <x:v>-4400</x:v>
      </x:c>
      <x:c r="E20" t="n">
        <x:f>COUNTIFS(BANK_EXPORT!$C$6:$C$33,B20,BANK_EXPORT!$D$6:$D$33,D20)</x:f>
        <x:v>1</x:v>
      </x:c>
      <x:c r="F20" t="n">
        <x:f>COUNTIF(TIMING_EVIDENCE!$A$6:$A$8,B20)</x:f>
        <x:v>0</x:v>
      </x:c>
      <x:c r="G20" t="str">
        <x:f>IF(E20=1,"MATCHED",IF(AND(E20=0,F20=1,D20&gt;0),"DEPOSIT IN TRANSIT",IF(AND(E20=0,F20=1,D20&lt;0),"OUTSTANDING PAYMENT","INVESTIGATE")))</x:f>
        <x:v>MATCHED</x:v>
      </x:c>
      <x:c r="H20" t="str">
        <x:f>IF(AND(E20&gt;1,""&lt;&gt;B20),"Duplicate bank match",IF(G20="INVESTIGATE","Investigate bank/source", ""))</x:f>
      </x:c>
    </x:row>
    <x:row r="21">
      <x:c r="A21" s="30" t="str">
        <x:f>GL_EXPORT!A63</x:f>
        <x:v>JR-PAY-002</x:v>
      </x:c>
      <x:c r="B21" s="30" t="str">
        <x:f>GL_EXPORT!C63</x:f>
        <x:v>PAY-002</x:v>
      </x:c>
      <x:c r="C21" s="31" t="n">
        <x:f>GL_EXPORT!B63</x:f>
        <x:v>46147</x:v>
      </x:c>
      <x:c r="D21" s="32" t="n">
        <x:f>GL_EXPORT!G63-GL_EXPORT!H63</x:f>
        <x:v>-5200</x:v>
      </x:c>
      <x:c r="E21" t="n">
        <x:f>COUNTIFS(BANK_EXPORT!$C$6:$C$33,B21,BANK_EXPORT!$D$6:$D$33,D21)</x:f>
        <x:v>1</x:v>
      </x:c>
      <x:c r="F21" t="n">
        <x:f>COUNTIF(TIMING_EVIDENCE!$A$6:$A$8,B21)</x:f>
        <x:v>0</x:v>
      </x:c>
      <x:c r="G21" t="str">
        <x:f>IF(E21=1,"MATCHED",IF(AND(E21=0,F21=1,D21&gt;0),"DEPOSIT IN TRANSIT",IF(AND(E21=0,F21=1,D21&lt;0),"OUTSTANDING PAYMENT","INVESTIGATE")))</x:f>
        <x:v>MATCHED</x:v>
      </x:c>
      <x:c r="H21" t="str">
        <x:f>IF(AND(E21&gt;1,""&lt;&gt;B21),"Duplicate bank match",IF(G21="INVESTIGATE","Investigate bank/source", ""))</x:f>
      </x:c>
    </x:row>
    <x:row r="22">
      <x:c r="A22" s="30" t="str">
        <x:f>GL_EXPORT!A65</x:f>
        <x:v>JR-PAY-003</x:v>
      </x:c>
      <x:c r="B22" s="30" t="str">
        <x:f>GL_EXPORT!C65</x:f>
        <x:v>PAY-003</x:v>
      </x:c>
      <x:c r="C22" s="31" t="n">
        <x:f>GL_EXPORT!B65</x:f>
        <x:v>46148</x:v>
      </x:c>
      <x:c r="D22" s="32" t="n">
        <x:f>GL_EXPORT!G65-GL_EXPORT!H65</x:f>
        <x:v>-7100</x:v>
      </x:c>
      <x:c r="E22" t="n">
        <x:f>COUNTIFS(BANK_EXPORT!$C$6:$C$33,B22,BANK_EXPORT!$D$6:$D$33,D22)</x:f>
        <x:v>1</x:v>
      </x:c>
      <x:c r="F22" t="n">
        <x:f>COUNTIF(TIMING_EVIDENCE!$A$6:$A$8,B22)</x:f>
        <x:v>0</x:v>
      </x:c>
      <x:c r="G22" t="str">
        <x:f>IF(E22=1,"MATCHED",IF(AND(E22=0,F22=1,D22&gt;0),"DEPOSIT IN TRANSIT",IF(AND(E22=0,F22=1,D22&lt;0),"OUTSTANDING PAYMENT","INVESTIGATE")))</x:f>
        <x:v>MATCHED</x:v>
      </x:c>
      <x:c r="H22" t="str">
        <x:f>IF(AND(E22&gt;1,""&lt;&gt;B22),"Duplicate bank match",IF(G22="INVESTIGATE","Investigate bank/source", ""))</x:f>
      </x:c>
    </x:row>
    <x:row r="23">
      <x:c r="A23" s="30" t="str">
        <x:f>GL_EXPORT!A67</x:f>
        <x:v>JR-PAY-004</x:v>
      </x:c>
      <x:c r="B23" s="30" t="str">
        <x:f>GL_EXPORT!C67</x:f>
        <x:v>PAY-004</x:v>
      </x:c>
      <x:c r="C23" s="31" t="n">
        <x:f>GL_EXPORT!B67</x:f>
        <x:v>46149</x:v>
      </x:c>
      <x:c r="D23" s="32" t="n">
        <x:f>GL_EXPORT!G67-GL_EXPORT!H67</x:f>
        <x:v>-2350</x:v>
      </x:c>
      <x:c r="E23" t="n">
        <x:f>COUNTIFS(BANK_EXPORT!$C$6:$C$33,B23,BANK_EXPORT!$D$6:$D$33,D23)</x:f>
        <x:v>1</x:v>
      </x:c>
      <x:c r="F23" t="n">
        <x:f>COUNTIF(TIMING_EVIDENCE!$A$6:$A$8,B23)</x:f>
        <x:v>0</x:v>
      </x:c>
      <x:c r="G23" t="str">
        <x:f>IF(E23=1,"MATCHED",IF(AND(E23=0,F23=1,D23&gt;0),"DEPOSIT IN TRANSIT",IF(AND(E23=0,F23=1,D23&lt;0),"OUTSTANDING PAYMENT","INVESTIGATE")))</x:f>
        <x:v>MATCHED</x:v>
      </x:c>
      <x:c r="H23" t="str">
        <x:f>IF(AND(E23&gt;1,""&lt;&gt;B23),"Duplicate bank match",IF(G23="INVESTIGATE","Investigate bank/source", ""))</x:f>
      </x:c>
    </x:row>
    <x:row r="24">
      <x:c r="A24" s="30" t="str">
        <x:f>GL_EXPORT!A69</x:f>
        <x:v>JR-PAY-005</x:v>
      </x:c>
      <x:c r="B24" s="30" t="str">
        <x:f>GL_EXPORT!C69</x:f>
        <x:v>PAY-005</x:v>
      </x:c>
      <x:c r="C24" s="31" t="n">
        <x:f>GL_EXPORT!B69</x:f>
        <x:v>46150</x:v>
      </x:c>
      <x:c r="D24" s="32" t="n">
        <x:f>GL_EXPORT!G69-GL_EXPORT!H69</x:f>
        <x:v>-850</x:v>
      </x:c>
      <x:c r="E24" t="n">
        <x:f>COUNTIFS(BANK_EXPORT!$C$6:$C$33,B24,BANK_EXPORT!$D$6:$D$33,D24)</x:f>
        <x:v>1</x:v>
      </x:c>
      <x:c r="F24" t="n">
        <x:f>COUNTIF(TIMING_EVIDENCE!$A$6:$A$8,B24)</x:f>
        <x:v>0</x:v>
      </x:c>
      <x:c r="G24" t="str">
        <x:f>IF(E24=1,"MATCHED",IF(AND(E24=0,F24=1,D24&gt;0),"DEPOSIT IN TRANSIT",IF(AND(E24=0,F24=1,D24&lt;0),"OUTSTANDING PAYMENT","INVESTIGATE")))</x:f>
        <x:v>MATCHED</x:v>
      </x:c>
      <x:c r="H24" t="str">
        <x:f>IF(AND(E24&gt;1,""&lt;&gt;B24),"Duplicate bank match",IF(G24="INVESTIGATE","Investigate bank/source", ""))</x:f>
      </x:c>
    </x:row>
    <x:row r="25">
      <x:c r="A25" s="30" t="str">
        <x:f>GL_EXPORT!A71</x:f>
        <x:v>JR-PAY-006</x:v>
      </x:c>
      <x:c r="B25" s="30" t="str">
        <x:f>GL_EXPORT!C71</x:f>
        <x:v>PAY-006</x:v>
      </x:c>
      <x:c r="C25" s="31" t="n">
        <x:f>GL_EXPORT!B71</x:f>
        <x:v>46153</x:v>
      </x:c>
      <x:c r="D25" s="32" t="n">
        <x:f>GL_EXPORT!G71-GL_EXPORT!H71</x:f>
        <x:v>-1700</x:v>
      </x:c>
      <x:c r="E25" t="n">
        <x:f>COUNTIFS(BANK_EXPORT!$C$6:$C$33,B25,BANK_EXPORT!$D$6:$D$33,D25)</x:f>
        <x:v>1</x:v>
      </x:c>
      <x:c r="F25" t="n">
        <x:f>COUNTIF(TIMING_EVIDENCE!$A$6:$A$8,B25)</x:f>
        <x:v>0</x:v>
      </x:c>
      <x:c r="G25" t="str">
        <x:f>IF(E25=1,"MATCHED",IF(AND(E25=0,F25=1,D25&gt;0),"DEPOSIT IN TRANSIT",IF(AND(E25=0,F25=1,D25&lt;0),"OUTSTANDING PAYMENT","INVESTIGATE")))</x:f>
        <x:v>MATCHED</x:v>
      </x:c>
      <x:c r="H25" t="str">
        <x:f>IF(AND(E25&gt;1,""&lt;&gt;B25),"Duplicate bank match",IF(G25="INVESTIGATE","Investigate bank/source", ""))</x:f>
      </x:c>
    </x:row>
    <x:row r="26">
      <x:c r="A26" s="30" t="str">
        <x:f>GL_EXPORT!A73</x:f>
        <x:v>JR-PAY-007</x:v>
      </x:c>
      <x:c r="B26" s="30" t="str">
        <x:f>GL_EXPORT!C73</x:f>
        <x:v>PAY-007</x:v>
      </x:c>
      <x:c r="C26" s="31" t="n">
        <x:f>GL_EXPORT!B73</x:f>
        <x:v>46155</x:v>
      </x:c>
      <x:c r="D26" s="32" t="n">
        <x:f>GL_EXPORT!G73-GL_EXPORT!H73</x:f>
        <x:v>-3700</x:v>
      </x:c>
      <x:c r="E26" t="n">
        <x:f>COUNTIFS(BANK_EXPORT!$C$6:$C$33,B26,BANK_EXPORT!$D$6:$D$33,D26)</x:f>
        <x:v>1</x:v>
      </x:c>
      <x:c r="F26" t="n">
        <x:f>COUNTIF(TIMING_EVIDENCE!$A$6:$A$8,B26)</x:f>
        <x:v>0</x:v>
      </x:c>
      <x:c r="G26" t="str">
        <x:f>IF(E26=1,"MATCHED",IF(AND(E26=0,F26=1,D26&gt;0),"DEPOSIT IN TRANSIT",IF(AND(E26=0,F26=1,D26&lt;0),"OUTSTANDING PAYMENT","INVESTIGATE")))</x:f>
        <x:v>MATCHED</x:v>
      </x:c>
      <x:c r="H26" t="str">
        <x:f>IF(AND(E26&gt;1,""&lt;&gt;B26),"Duplicate bank match",IF(G26="INVESTIGATE","Investigate bank/source", ""))</x:f>
      </x:c>
    </x:row>
    <x:row r="27">
      <x:c r="A27" s="30" t="str">
        <x:f>GL_EXPORT!A75</x:f>
        <x:v>JR-PAY-008</x:v>
      </x:c>
      <x:c r="B27" s="30" t="str">
        <x:f>GL_EXPORT!C75</x:f>
        <x:v>PAY-008</x:v>
      </x:c>
      <x:c r="C27" s="31" t="n">
        <x:f>GL_EXPORT!B75</x:f>
        <x:v>46157</x:v>
      </x:c>
      <x:c r="D27" s="32" t="n">
        <x:f>GL_EXPORT!G75-GL_EXPORT!H75</x:f>
        <x:v>-670</x:v>
      </x:c>
      <x:c r="E27" t="n">
        <x:f>COUNTIFS(BANK_EXPORT!$C$6:$C$33,B27,BANK_EXPORT!$D$6:$D$33,D27)</x:f>
        <x:v>1</x:v>
      </x:c>
      <x:c r="F27" t="n">
        <x:f>COUNTIF(TIMING_EVIDENCE!$A$6:$A$8,B27)</x:f>
        <x:v>0</x:v>
      </x:c>
      <x:c r="G27" t="str">
        <x:f>IF(E27=1,"MATCHED",IF(AND(E27=0,F27=1,D27&gt;0),"DEPOSIT IN TRANSIT",IF(AND(E27=0,F27=1,D27&lt;0),"OUTSTANDING PAYMENT","INVESTIGATE")))</x:f>
        <x:v>MATCHED</x:v>
      </x:c>
      <x:c r="H27" t="str">
        <x:f>IF(AND(E27&gt;1,""&lt;&gt;B27),"Duplicate bank match",IF(G27="INVESTIGATE","Investigate bank/source", ""))</x:f>
      </x:c>
    </x:row>
    <x:row r="28">
      <x:c r="A28" s="30" t="str">
        <x:f>GL_EXPORT!A77</x:f>
        <x:v>JR-PAY-009</x:v>
      </x:c>
      <x:c r="B28" s="30" t="str">
        <x:f>GL_EXPORT!C77</x:f>
        <x:v>PAY-009</x:v>
      </x:c>
      <x:c r="C28" s="31" t="n">
        <x:f>GL_EXPORT!B77</x:f>
        <x:v>46160</x:v>
      </x:c>
      <x:c r="D28" s="32" t="n">
        <x:f>GL_EXPORT!G77-GL_EXPORT!H77</x:f>
        <x:v>-4000</x:v>
      </x:c>
      <x:c r="E28" t="n">
        <x:f>COUNTIFS(BANK_EXPORT!$C$6:$C$33,B28,BANK_EXPORT!$D$6:$D$33,D28)</x:f>
        <x:v>1</x:v>
      </x:c>
      <x:c r="F28" t="n">
        <x:f>COUNTIF(TIMING_EVIDENCE!$A$6:$A$8,B28)</x:f>
        <x:v>0</x:v>
      </x:c>
      <x:c r="G28" t="str">
        <x:f>IF(E28=1,"MATCHED",IF(AND(E28=0,F28=1,D28&gt;0),"DEPOSIT IN TRANSIT",IF(AND(E28=0,F28=1,D28&lt;0),"OUTSTANDING PAYMENT","INVESTIGATE")))</x:f>
        <x:v>MATCHED</x:v>
      </x:c>
      <x:c r="H28" t="str">
        <x:f>IF(AND(E28&gt;1,""&lt;&gt;B28),"Duplicate bank match",IF(G28="INVESTIGATE","Investigate bank/source", ""))</x:f>
      </x:c>
    </x:row>
    <x:row r="29">
      <x:c r="A29" s="30" t="str">
        <x:f>GL_EXPORT!A79</x:f>
        <x:v>JR-PAY-010</x:v>
      </x:c>
      <x:c r="B29" s="30" t="str">
        <x:f>GL_EXPORT!C79</x:f>
        <x:v>PAY-010</x:v>
      </x:c>
      <x:c r="C29" s="31" t="n">
        <x:f>GL_EXPORT!B79</x:f>
        <x:v>46161</x:v>
      </x:c>
      <x:c r="D29" s="32" t="n">
        <x:f>GL_EXPORT!G79-GL_EXPORT!H79</x:f>
        <x:v>-1150</x:v>
      </x:c>
      <x:c r="E29" t="n">
        <x:f>COUNTIFS(BANK_EXPORT!$C$6:$C$33,B29,BANK_EXPORT!$D$6:$D$33,D29)</x:f>
        <x:v>1</x:v>
      </x:c>
      <x:c r="F29" t="n">
        <x:f>COUNTIF(TIMING_EVIDENCE!$A$6:$A$8,B29)</x:f>
        <x:v>0</x:v>
      </x:c>
      <x:c r="G29" t="str">
        <x:f>IF(E29=1,"MATCHED",IF(AND(E29=0,F29=1,D29&gt;0),"DEPOSIT IN TRANSIT",IF(AND(E29=0,F29=1,D29&lt;0),"OUTSTANDING PAYMENT","INVESTIGATE")))</x:f>
        <x:v>MATCHED</x:v>
      </x:c>
      <x:c r="H29" t="str">
        <x:f>IF(AND(E29&gt;1,""&lt;&gt;B29),"Duplicate bank match",IF(G29="INVESTIGATE","Investigate bank/source", ""))</x:f>
      </x:c>
    </x:row>
    <x:row r="30">
      <x:c r="A30" s="30" t="str">
        <x:f>GL_EXPORT!A81</x:f>
        <x:v>JR-PAY-011</x:v>
      </x:c>
      <x:c r="B30" s="30" t="str">
        <x:f>GL_EXPORT!C81</x:f>
        <x:v>PAY-011</x:v>
      </x:c>
      <x:c r="C30" s="31" t="n">
        <x:f>GL_EXPORT!B81</x:f>
        <x:v>46163</x:v>
      </x:c>
      <x:c r="D30" s="32" t="n">
        <x:f>GL_EXPORT!G81-GL_EXPORT!H81</x:f>
        <x:v>-950</x:v>
      </x:c>
      <x:c r="E30" t="n">
        <x:f>COUNTIFS(BANK_EXPORT!$C$6:$C$33,B30,BANK_EXPORT!$D$6:$D$33,D30)</x:f>
        <x:v>1</x:v>
      </x:c>
      <x:c r="F30" t="n">
        <x:f>COUNTIF(TIMING_EVIDENCE!$A$6:$A$8,B30)</x:f>
        <x:v>0</x:v>
      </x:c>
      <x:c r="G30" t="str">
        <x:f>IF(E30=1,"MATCHED",IF(AND(E30=0,F30=1,D30&gt;0),"DEPOSIT IN TRANSIT",IF(AND(E30=0,F30=1,D30&lt;0),"OUTSTANDING PAYMENT","INVESTIGATE")))</x:f>
        <x:v>MATCHED</x:v>
      </x:c>
      <x:c r="H30" t="str">
        <x:f>IF(AND(E30&gt;1,""&lt;&gt;B30),"Duplicate bank match",IF(G30="INVESTIGATE","Investigate bank/source", ""))</x:f>
      </x:c>
    </x:row>
    <x:row r="31">
      <x:c r="A31" s="30" t="str">
        <x:f>GL_EXPORT!A83</x:f>
        <x:v>JR-PAY-012</x:v>
      </x:c>
      <x:c r="B31" s="30" t="str">
        <x:f>GL_EXPORT!C83</x:f>
        <x:v>PAY-012</x:v>
      </x:c>
      <x:c r="C31" s="31" t="n">
        <x:f>GL_EXPORT!B83</x:f>
        <x:v>46166</x:v>
      </x:c>
      <x:c r="D31" s="32" t="n">
        <x:f>GL_EXPORT!G83-GL_EXPORT!H83</x:f>
        <x:v>-2450</x:v>
      </x:c>
      <x:c r="E31" t="n">
        <x:f>COUNTIFS(BANK_EXPORT!$C$6:$C$33,B31,BANK_EXPORT!$D$6:$D$33,D31)</x:f>
        <x:v>1</x:v>
      </x:c>
      <x:c r="F31" t="n">
        <x:f>COUNTIF(TIMING_EVIDENCE!$A$6:$A$8,B31)</x:f>
        <x:v>0</x:v>
      </x:c>
      <x:c r="G31" t="str">
        <x:f>IF(E31=1,"MATCHED",IF(AND(E31=0,F31=1,D31&gt;0),"DEPOSIT IN TRANSIT",IF(AND(E31=0,F31=1,D31&lt;0),"OUTSTANDING PAYMENT","INVESTIGATE")))</x:f>
        <x:v>MATCHED</x:v>
      </x:c>
      <x:c r="H31" t="str">
        <x:f>IF(AND(E31&gt;1,""&lt;&gt;B31),"Duplicate bank match",IF(G31="INVESTIGATE","Investigate bank/source", ""))</x:f>
      </x:c>
    </x:row>
    <x:row r="32">
      <x:c r="A32" s="30" t="str">
        <x:f>GL_EXPORT!A85</x:f>
        <x:v>JR-PAY-013</x:v>
      </x:c>
      <x:c r="B32" s="30" t="str">
        <x:f>GL_EXPORT!C85</x:f>
        <x:v>PAY-013</x:v>
      </x:c>
      <x:c r="C32" s="31" t="n">
        <x:f>GL_EXPORT!B85</x:f>
        <x:v>46171</x:v>
      </x:c>
      <x:c r="D32" s="32" t="n">
        <x:f>GL_EXPORT!G85-GL_EXPORT!H85</x:f>
        <x:v>-1250</x:v>
      </x:c>
      <x:c r="E32" t="n">
        <x:f>COUNTIFS(BANK_EXPORT!$C$6:$C$33,B32,BANK_EXPORT!$D$6:$D$33,D32)</x:f>
        <x:v>0</x:v>
      </x:c>
      <x:c r="F32" t="n">
        <x:f>COUNTIF(TIMING_EVIDENCE!$A$6:$A$8,B32)</x:f>
        <x:v>1</x:v>
      </x:c>
      <x:c r="G32" t="str">
        <x:f>IF(E32=1,"MATCHED",IF(AND(E32=0,F32=1,D32&gt;0),"DEPOSIT IN TRANSIT",IF(AND(E32=0,F32=1,D32&lt;0),"OUTSTANDING PAYMENT","INVESTIGATE")))</x:f>
        <x:v>OUTSTANDING PAYMENT</x:v>
      </x:c>
      <x:c r="H32" t="str">
        <x:f>IF(AND(E32&gt;1,""&lt;&gt;B32),"Duplicate bank match",IF(G32="INVESTIGATE","Investigate bank/source", ""))</x:f>
      </x:c>
    </x:row>
    <x:row r="33">
      <x:c r="A33" s="30" t="str">
        <x:f>GL_EXPORT!A87</x:f>
        <x:v>JR-PAY-014</x:v>
      </x:c>
      <x:c r="B33" s="30" t="str">
        <x:f>GL_EXPORT!C87</x:f>
        <x:v>PAY-014</x:v>
      </x:c>
      <x:c r="C33" s="31" t="n">
        <x:f>GL_EXPORT!B87</x:f>
        <x:v>46172</x:v>
      </x:c>
      <x:c r="D33" s="32" t="n">
        <x:f>GL_EXPORT!G87-GL_EXPORT!H87</x:f>
        <x:v>-410</x:v>
      </x:c>
      <x:c r="E33" t="n">
        <x:f>COUNTIFS(BANK_EXPORT!$C$6:$C$33,B33,BANK_EXPORT!$D$6:$D$33,D33)</x:f>
        <x:v>0</x:v>
      </x:c>
      <x:c r="F33" t="n">
        <x:f>COUNTIF(TIMING_EVIDENCE!$A$6:$A$8,B33)</x:f>
        <x:v>1</x:v>
      </x:c>
      <x:c r="G33" t="str">
        <x:f>IF(E33=1,"MATCHED",IF(AND(E33=0,F33=1,D33&gt;0),"DEPOSIT IN TRANSIT",IF(AND(E33=0,F33=1,D33&lt;0),"OUTSTANDING PAYMENT","INVESTIGATE")))</x:f>
        <x:v>OUTSTANDING PAYMENT</x:v>
      </x:c>
      <x:c r="H33" t="str">
        <x:f>IF(AND(E33&gt;1,""&lt;&gt;B33),"Duplicate bank match",IF(G33="INVESTIGATE","Investigate bank/source", ""))</x:f>
      </x:c>
    </x:row>
    <x:row r="34">
      <x:c r="A34" s="30" t="str">
        <x:f>GL_EXPORT!A89</x:f>
        <x:v>JR-PAY-015</x:v>
      </x:c>
      <x:c r="B34" s="30" t="str">
        <x:f>GL_EXPORT!C89</x:f>
        <x:v>PAY-015</x:v>
      </x:c>
      <x:c r="C34" s="31" t="n">
        <x:f>GL_EXPORT!B89</x:f>
        <x:v>46168</x:v>
      </x:c>
      <x:c r="D34" s="32" t="n">
        <x:f>GL_EXPORT!G89-GL_EXPORT!H89</x:f>
        <x:v>-810</x:v>
      </x:c>
      <x:c r="E34" t="n">
        <x:f>COUNTIFS(BANK_EXPORT!$C$6:$C$33,B34,BANK_EXPORT!$D$6:$D$33,D34)</x:f>
        <x:v>1</x:v>
      </x:c>
      <x:c r="F34" t="n">
        <x:f>COUNTIF(TIMING_EVIDENCE!$A$6:$A$8,B34)</x:f>
        <x:v>0</x:v>
      </x:c>
      <x:c r="G34" t="str">
        <x:f>IF(E34=1,"MATCHED",IF(AND(E34=0,F34=1,D34&gt;0),"DEPOSIT IN TRANSIT",IF(AND(E34=0,F34=1,D34&lt;0),"OUTSTANDING PAYMENT","INVESTIGATE")))</x:f>
        <x:v>MATCHED</x:v>
      </x:c>
      <x:c r="H34" t="str">
        <x:f>IF(AND(E34&gt;1,""&lt;&gt;B34),"Duplicate bank match",IF(G34="INVESTIGATE","Investigate bank/source", ""))</x:f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43" hidden="0" customWidth="1"/>
    <x:col min="2" max="2" width="23" hidden="0" customWidth="1"/>
    <x:col min="4" max="4" width="38" hidden="0" customWidth="1"/>
    <x:col min="5" max="5" width="26" hidden="0" customWidth="1"/>
  </x:cols>
  <x:sheetData>
    <x:row r="1" ht="32" customHeight="1">
      <x:c r="A1" s="8" t="str">
        <x:v>WORKPAPER B  •  BANK RECONCILIATION</x:v>
      </x:c>
      <x:c r="B1" s="8"/>
      <x:c r="C1" s="8"/>
      <x:c r="D1" s="8"/>
      <x:c r="E1" s="8"/>
      <x:c r="F1" s="8"/>
    </x:row>
    <x:row r="2">
      <x:c r="A2" s="8"/>
      <x:c r="B2" s="8"/>
      <x:c r="C2" s="8"/>
      <x:c r="D2" s="8"/>
      <x:c r="E2" s="8"/>
      <x:c r="F2" s="8"/>
    </x:row>
    <x:row r="5">
      <x:c r="A5" t="str">
        <x:v>Opening cash / bank balance</x:v>
      </x:c>
      <x:c r="B5" s="12" t="n">
        <x:f>READ_ME!B7</x:f>
        <x:v>35000</x:v>
      </x:c>
      <x:c r="D5" t="str">
        <x:v>BANK-ONLY CLASSIFICATION</x:v>
      </x:c>
    </x:row>
    <x:row r="6">
      <x:c r="A6" t="str">
        <x:v>Cash transactions in posted GL</x:v>
      </x:c>
      <x:c r="B6" s="12" t="n">
        <x:f>SUMIFS(GL_EXPORT!$G$6:$G$91,GL_EXPORT!$D$6:$D$91,1000,GL_EXPORT!$I$6:$I$91,"POSTED")-SUMIFS(GL_EXPORT!$H$6:$H$91,GL_EXPORT!$D$6:$D$91,1000,GL_EXPORT!$I$6:$I$91,"POSTED")</x:f>
        <x:v>12060</x:v>
      </x:c>
      <x:c r="D6" s="28" t="str">
        <x:v>Reference</x:v>
      </x:c>
      <x:c r="E6" s="28" t="str">
        <x:v>Bank amt (USD)</x:v>
      </x:c>
      <x:c r="F6" s="28" t="str">
        <x:v>Classification</x:v>
      </x:c>
    </x:row>
    <x:row r="7">
      <x:c r="A7" s="38" t="str">
        <x:v>Unadjusted cash book balance</x:v>
      </x:c>
      <x:c r="B7" s="40" t="n">
        <x:f>SUM(B5:B6)</x:f>
        <x:v>47060</x:v>
      </x:c>
      <x:c r="D7" s="30" t="str">
        <x:f>BANK_EXPORT!C6</x:f>
        <x:v>PAY-001</x:v>
      </x:c>
      <x:c r="E7" s="32" t="n">
        <x:f>BANK_EXPORT!D6</x:f>
        <x:v>-4400</x:v>
      </x:c>
      <x:c r="F7" t="str">
        <x:f>IF(OR(D7="BANK-FEE",D7="BANK-INT"),"BOOK ADJUSTMENT",IF(COUNTIFS(CASH_MATCH!$B$6:$B$34,D7,CASH_MATCH!$D$6:$D$34,E7)=1,"MATCHED","INVESTIGATE"))</x:f>
        <x:v>MATCHED</x:v>
      </x:c>
    </x:row>
    <x:row r="8">
      <x:c r="B8" s="12"/>
      <x:c r="D8" s="30" t="str">
        <x:f>BANK_EXPORT!C7</x:f>
        <x:v>PAY-002</x:v>
      </x:c>
      <x:c r="E8" s="32" t="n">
        <x:f>BANK_EXPORT!D7</x:f>
        <x:v>-5200</x:v>
      </x:c>
      <x:c r="F8" t="str">
        <x:f>IF(OR(D8="BANK-FEE",D8="BANK-INT"),"BOOK ADJUSTMENT",IF(COUNTIFS(CASH_MATCH!$B$6:$B$34,D8,CASH_MATCH!$D$6:$D$34,E8)=1,"MATCHED","INVESTIGATE"))</x:f>
        <x:v>MATCHED</x:v>
      </x:c>
    </x:row>
    <x:row r="9">
      <x:c r="A9" t="str">
        <x:v>Closing bank statement balance</x:v>
      </x:c>
      <x:c r="B9" s="12" t="n">
        <x:f>B5+SUM(BANK_EXPORT!$D$6:$D$33)</x:f>
        <x:v>44130</x:v>
      </x:c>
      <x:c r="D9" s="30" t="str">
        <x:f>BANK_EXPORT!C8</x:f>
        <x:v>REC-001</x:v>
      </x:c>
      <x:c r="E9" s="32" t="n">
        <x:f>BANK_EXPORT!D8</x:f>
        <x:v>5400</x:v>
      </x:c>
      <x:c r="F9" t="str">
        <x:f>IF(OR(D9="BANK-FEE",D9="BANK-INT"),"BOOK ADJUSTMENT",IF(COUNTIFS(CASH_MATCH!$B$6:$B$34,D9,CASH_MATCH!$D$6:$D$34,E9)=1,"MATCHED","INVESTIGATE"))</x:f>
        <x:v>MATCHED</x:v>
      </x:c>
    </x:row>
    <x:row r="10">
      <x:c r="A10" t="str">
        <x:v>Deposit in transit (+)</x:v>
      </x:c>
      <x:c r="B10" s="12" t="n">
        <x:f>SUMIF(CASH_MATCH!$G$6:$G$34,"DEPOSIT IN TRANSIT",CASH_MATCH!$D$6:$D$34)</x:f>
        <x:v>4550</x:v>
      </x:c>
      <x:c r="D10" s="30" t="str">
        <x:f>BANK_EXPORT!C9</x:f>
        <x:v>PAY-003</x:v>
      </x:c>
      <x:c r="E10" s="32" t="n">
        <x:f>BANK_EXPORT!D9</x:f>
        <x:v>-7100</x:v>
      </x:c>
      <x:c r="F10" t="str">
        <x:f>IF(OR(D10="BANK-FEE",D10="BANK-INT"),"BOOK ADJUSTMENT",IF(COUNTIFS(CASH_MATCH!$B$6:$B$34,D10,CASH_MATCH!$D$6:$D$34,E10)=1,"MATCHED","INVESTIGATE"))</x:f>
        <x:v>MATCHED</x:v>
      </x:c>
    </x:row>
    <x:row r="11">
      <x:c r="A11" t="str">
        <x:v>Outstanding payments (-)</x:v>
      </x:c>
      <x:c r="B11" s="12" t="n">
        <x:f>-SUMIF(CASH_MATCH!$G$6:$G$34,"OUTSTANDING PAYMENT",CASH_MATCH!$D$6:$D$34)</x:f>
        <x:v>1660</x:v>
      </x:c>
      <x:c r="D11" s="30" t="str">
        <x:f>BANK_EXPORT!C10</x:f>
        <x:v>PAY-004</x:v>
      </x:c>
      <x:c r="E11" s="32" t="n">
        <x:f>BANK_EXPORT!D10</x:f>
        <x:v>-2350</x:v>
      </x:c>
      <x:c r="F11" t="str">
        <x:f>IF(OR(D11="BANK-FEE",D11="BANK-INT"),"BOOK ADJUSTMENT",IF(COUNTIFS(CASH_MATCH!$B$6:$B$34,D11,CASH_MATCH!$D$6:$D$34,E11)=1,"MATCHED","INVESTIGATE"))</x:f>
        <x:v>MATCHED</x:v>
      </x:c>
    </x:row>
    <x:row r="12">
      <x:c r="A12" s="38" t="str">
        <x:v>Adjusted bank balance</x:v>
      </x:c>
      <x:c r="B12" s="40" t="n">
        <x:f>B9+B10-B11</x:f>
        <x:v>47020</x:v>
      </x:c>
      <x:c r="D12" s="30" t="str">
        <x:f>BANK_EXPORT!C11</x:f>
        <x:v>PAY-005</x:v>
      </x:c>
      <x:c r="E12" s="32" t="n">
        <x:f>BANK_EXPORT!D11</x:f>
        <x:v>-850</x:v>
      </x:c>
      <x:c r="F12" t="str">
        <x:f>IF(OR(D12="BANK-FEE",D12="BANK-INT"),"BOOK ADJUSTMENT",IF(COUNTIFS(CASH_MATCH!$B$6:$B$34,D12,CASH_MATCH!$D$6:$D$34,E12)=1,"MATCHED","INVESTIGATE"))</x:f>
        <x:v>MATCHED</x:v>
      </x:c>
    </x:row>
    <x:row r="13">
      <x:c r="B13" s="12"/>
      <x:c r="D13" s="30" t="str">
        <x:f>BANK_EXPORT!C12</x:f>
        <x:v>REC-002</x:v>
      </x:c>
      <x:c r="E13" s="32" t="n">
        <x:f>BANK_EXPORT!D12</x:f>
        <x:v>1300</x:v>
      </x:c>
      <x:c r="F13" t="str">
        <x:f>IF(OR(D13="BANK-FEE",D13="BANK-INT"),"BOOK ADJUSTMENT",IF(COUNTIFS(CASH_MATCH!$B$6:$B$34,D13,CASH_MATCH!$D$6:$D$34,E13)=1,"MATCHED","INVESTIGATE"))</x:f>
        <x:v>MATCHED</x:v>
      </x:c>
    </x:row>
    <x:row r="14">
      <x:c r="A14" t="str">
        <x:v>Unrecorded bank fee (-)</x:v>
      </x:c>
      <x:c r="B14" s="12" t="n">
        <x:f>SUMIF(BANK_EXPORT!$C$6:$C$33,"BANK-FEE",BANK_EXPORT!$D$6:$D$33)</x:f>
        <x:v>-55</x:v>
      </x:c>
      <x:c r="D14" s="30" t="str">
        <x:f>BANK_EXPORT!C13</x:f>
        <x:v>PAY-006</x:v>
      </x:c>
      <x:c r="E14" s="32" t="n">
        <x:f>BANK_EXPORT!D13</x:f>
        <x:v>-1700</x:v>
      </x:c>
      <x:c r="F14" t="str">
        <x:f>IF(OR(D14="BANK-FEE",D14="BANK-INT"),"BOOK ADJUSTMENT",IF(COUNTIFS(CASH_MATCH!$B$6:$B$34,D14,CASH_MATCH!$D$6:$D$34,E14)=1,"MATCHED","INVESTIGATE"))</x:f>
        <x:v>MATCHED</x:v>
      </x:c>
    </x:row>
    <x:row r="15">
      <x:c r="A15" t="str">
        <x:v>Unrecorded bank interest (+)</x:v>
      </x:c>
      <x:c r="B15" s="12" t="n">
        <x:f>SUMIF(BANK_EXPORT!$C$6:$C$33,"BANK-INT",BANK_EXPORT!$D$6:$D$33)</x:f>
        <x:v>15</x:v>
      </x:c>
      <x:c r="D15" s="30" t="str">
        <x:f>BANK_EXPORT!C14</x:f>
        <x:v>REC-003</x:v>
      </x:c>
      <x:c r="E15" s="32" t="n">
        <x:f>BANK_EXPORT!D14</x:f>
        <x:v>2100</x:v>
      </x:c>
      <x:c r="F15" t="str">
        <x:f>IF(OR(D15="BANK-FEE",D15="BANK-INT"),"BOOK ADJUSTMENT",IF(COUNTIFS(CASH_MATCH!$B$6:$B$34,D15,CASH_MATCH!$D$6:$D$34,E15)=1,"MATCHED","INVESTIGATE"))</x:f>
        <x:v>MATCHED</x:v>
      </x:c>
    </x:row>
    <x:row r="16">
      <x:c r="A16" s="38" t="str">
        <x:v>Adjusted book cash balance</x:v>
      </x:c>
      <x:c r="B16" s="40" t="n">
        <x:f>SUM(B7,B14,B15)</x:f>
        <x:v>47020</x:v>
      </x:c>
      <x:c r="D16" s="30" t="str">
        <x:f>BANK_EXPORT!C15</x:f>
        <x:v>REC-008</x:v>
      </x:c>
      <x:c r="E16" s="32" t="n">
        <x:f>BANK_EXPORT!D15</x:f>
        <x:v>5750</x:v>
      </x:c>
      <x:c r="F16" t="str">
        <x:f>IF(OR(D16="BANK-FEE",D16="BANK-INT"),"BOOK ADJUSTMENT",IF(COUNTIFS(CASH_MATCH!$B$6:$B$34,D16,CASH_MATCH!$D$6:$D$34,E16)=1,"MATCHED","INVESTIGATE"))</x:f>
        <x:v>MATCHED</x:v>
      </x:c>
    </x:row>
    <x:row r="17">
      <x:c r="B17" s="12"/>
      <x:c r="D17" s="30" t="str">
        <x:f>BANK_EXPORT!C16</x:f>
        <x:v>PAY-007</x:v>
      </x:c>
      <x:c r="E17" s="32" t="n">
        <x:f>BANK_EXPORT!D16</x:f>
        <x:v>-3700</x:v>
      </x:c>
      <x:c r="F17" t="str">
        <x:f>IF(OR(D17="BANK-FEE",D17="BANK-INT"),"BOOK ADJUSTMENT",IF(COUNTIFS(CASH_MATCH!$B$6:$B$34,D17,CASH_MATCH!$D$6:$D$34,E17)=1,"MATCHED","INVESTIGATE"))</x:f>
        <x:v>MATCHED</x:v>
      </x:c>
    </x:row>
    <x:row r="18">
      <x:c r="A18" s="38" t="str">
        <x:v>Reconciliation difference</x:v>
      </x:c>
      <x:c r="B18" s="40" t="n">
        <x:f>ROUND(B12-B16,2)</x:f>
        <x:v>0</x:v>
      </x:c>
      <x:c r="D18" s="30" t="str">
        <x:f>BANK_EXPORT!C17</x:f>
        <x:v>PAY-008</x:v>
      </x:c>
      <x:c r="E18" s="32" t="n">
        <x:f>BANK_EXPORT!D17</x:f>
        <x:v>-670</x:v>
      </x:c>
      <x:c r="F18" t="str">
        <x:f>IF(OR(D18="BANK-FEE",D18="BANK-INT"),"BOOK ADJUSTMENT",IF(COUNTIFS(CASH_MATCH!$B$6:$B$34,D18,CASH_MATCH!$D$6:$D$34,E18)=1,"MATCHED","INVESTIGATE"))</x:f>
        <x:v>MATCHED</x:v>
      </x:c>
    </x:row>
    <x:row r="19">
      <x:c r="B19" s="12"/>
      <x:c r="D19" s="30" t="str">
        <x:f>BANK_EXPORT!C18</x:f>
        <x:v>PAY-009</x:v>
      </x:c>
      <x:c r="E19" s="32" t="n">
        <x:f>BANK_EXPORT!D18</x:f>
        <x:v>-4000</x:v>
      </x:c>
      <x:c r="F19" t="str">
        <x:f>IF(OR(D19="BANK-FEE",D19="BANK-INT"),"BOOK ADJUSTMENT",IF(COUNTIFS(CASH_MATCH!$B$6:$B$34,D19,CASH_MATCH!$D$6:$D$34,E19)=1,"MATCHED","INVESTIGATE"))</x:f>
        <x:v>MATCHED</x:v>
      </x:c>
    </x:row>
    <x:row r="20">
      <x:c r="A20" t="str">
        <x:v>Unexplained GL cash items</x:v>
      </x:c>
      <x:c r="B20" s="12" t="n">
        <x:f>COUNTIF(CASH_MATCH!$G$6:$G$34,"INVESTIGATE")</x:f>
        <x:v>0</x:v>
      </x:c>
      <x:c r="D20" s="30" t="str">
        <x:f>BANK_EXPORT!C19</x:f>
        <x:v>REC-004</x:v>
      </x:c>
      <x:c r="E20" s="32" t="n">
        <x:f>BANK_EXPORT!D19</x:f>
        <x:v>3100</x:v>
      </x:c>
      <x:c r="F20" t="str">
        <x:f>IF(OR(D20="BANK-FEE",D20="BANK-INT"),"BOOK ADJUSTMENT",IF(COUNTIFS(CASH_MATCH!$B$6:$B$34,D20,CASH_MATCH!$D$6:$D$34,E20)=1,"MATCHED","INVESTIGATE"))</x:f>
        <x:v>MATCHED</x:v>
      </x:c>
    </x:row>
    <x:row r="21">
      <x:c r="A21" t="str">
        <x:v>Bank-only transactions requiring investigation</x:v>
      </x:c>
      <x:c r="B21" s="12" t="n">
        <x:f>COUNTIF(F7:F99,"INVESTIGATE")</x:f>
        <x:v>0</x:v>
      </x:c>
      <x:c r="D21" s="30" t="str">
        <x:f>BANK_EXPORT!C20</x:f>
        <x:v>REC-009</x:v>
      </x:c>
      <x:c r="E21" s="32" t="n">
        <x:f>BANK_EXPORT!D20</x:f>
        <x:v>3000</x:v>
      </x:c>
      <x:c r="F21" t="str">
        <x:f>IF(OR(D21="BANK-FEE",D21="BANK-INT"),"BOOK ADJUSTMENT",IF(COUNTIFS(CASH_MATCH!$B$6:$B$34,D21,CASH_MATCH!$D$6:$D$34,E21)=1,"MATCHED","INVESTIGATE"))</x:f>
        <x:v>MATCHED</x:v>
      </x:c>
    </x:row>
    <x:row r="22">
      <x:c r="A22" t="str">
        <x:v>Timing items without evidence</x:v>
      </x:c>
      <x:c r="B22" s="12" t="n">
        <x:f>COUNTIFS(CASH_MATCH!$E$6:$E$34,0,CASH_MATCH!$F$6:$F$34,0)</x:f>
        <x:v>0</x:v>
      </x:c>
      <x:c r="D22" s="30" t="str">
        <x:f>BANK_EXPORT!C21</x:f>
        <x:v>PAY-010</x:v>
      </x:c>
      <x:c r="E22" s="32" t="n">
        <x:f>BANK_EXPORT!D21</x:f>
        <x:v>-1150</x:v>
      </x:c>
      <x:c r="F22" t="str">
        <x:f>IF(OR(D22="BANK-FEE",D22="BANK-INT"),"BOOK ADJUSTMENT",IF(COUNTIFS(CASH_MATCH!$B$6:$B$34,D22,CASH_MATCH!$D$6:$D$34,E22)=1,"MATCHED","INVESTIGATE"))</x:f>
        <x:v>MATCHED</x:v>
      </x:c>
    </x:row>
    <x:row r="23">
      <x:c r="D23" s="30" t="str">
        <x:f>BANK_EXPORT!C22</x:f>
        <x:v>PAY-011</x:v>
      </x:c>
      <x:c r="E23" s="32" t="n">
        <x:f>BANK_EXPORT!D22</x:f>
        <x:v>-950</x:v>
      </x:c>
      <x:c r="F23" t="str">
        <x:f>IF(OR(D23="BANK-FEE",D23="BANK-INT"),"BOOK ADJUSTMENT",IF(COUNTIFS(CASH_MATCH!$B$6:$B$34,D23,CASH_MATCH!$D$6:$D$34,E23)=1,"MATCHED","INVESTIGATE"))</x:f>
        <x:v>MATCHED</x:v>
      </x:c>
    </x:row>
    <x:row r="24">
      <x:c r="D24" s="30" t="str">
        <x:f>BANK_EXPORT!C23</x:f>
        <x:v>REC-005</x:v>
      </x:c>
      <x:c r="E24" s="32" t="n">
        <x:f>BANK_EXPORT!D23</x:f>
        <x:v>1650</x:v>
      </x:c>
      <x:c r="F24" t="str">
        <x:f>IF(OR(D24="BANK-FEE",D24="BANK-INT"),"BOOK ADJUSTMENT",IF(COUNTIFS(CASH_MATCH!$B$6:$B$34,D24,CASH_MATCH!$D$6:$D$34,E24)=1,"MATCHED","INVESTIGATE"))</x:f>
        <x:v>MATCHED</x:v>
      </x:c>
    </x:row>
    <x:row r="25">
      <x:c r="D25" s="30" t="str">
        <x:f>BANK_EXPORT!C24</x:f>
        <x:v>PAY-012</x:v>
      </x:c>
      <x:c r="E25" s="32" t="n">
        <x:f>BANK_EXPORT!D24</x:f>
        <x:v>-2450</x:v>
      </x:c>
      <x:c r="F25" t="str">
        <x:f>IF(OR(D25="BANK-FEE",D25="BANK-INT"),"BOOK ADJUSTMENT",IF(COUNTIFS(CASH_MATCH!$B$6:$B$34,D25,CASH_MATCH!$D$6:$D$34,E25)=1,"MATCHED","INVESTIGATE"))</x:f>
        <x:v>MATCHED</x:v>
      </x:c>
    </x:row>
    <x:row r="26">
      <x:c r="D26" s="30" t="str">
        <x:f>BANK_EXPORT!C25</x:f>
        <x:v>REC-010</x:v>
      </x:c>
      <x:c r="E26" s="32" t="n">
        <x:f>BANK_EXPORT!D25</x:f>
        <x:v>7200</x:v>
      </x:c>
      <x:c r="F26" t="str">
        <x:f>IF(OR(D26="BANK-FEE",D26="BANK-INT"),"BOOK ADJUSTMENT",IF(COUNTIFS(CASH_MATCH!$B$6:$B$34,D26,CASH_MATCH!$D$6:$D$34,E26)=1,"MATCHED","INVESTIGATE"))</x:f>
        <x:v>MATCHED</x:v>
      </x:c>
    </x:row>
    <x:row r="27">
      <x:c r="D27" s="30" t="str">
        <x:f>BANK_EXPORT!C26</x:f>
        <x:v>PAY-015</x:v>
      </x:c>
      <x:c r="E27" s="32" t="n">
        <x:f>BANK_EXPORT!D26</x:f>
        <x:v>-810</x:v>
      </x:c>
      <x:c r="F27" t="str">
        <x:f>IF(OR(D27="BANK-FEE",D27="BANK-INT"),"BOOK ADJUSTMENT",IF(COUNTIFS(CASH_MATCH!$B$6:$B$34,D27,CASH_MATCH!$D$6:$D$34,E27)=1,"MATCHED","INVESTIGATE"))</x:f>
        <x:v>MATCHED</x:v>
      </x:c>
    </x:row>
    <x:row r="28">
      <x:c r="D28" s="30" t="str">
        <x:f>BANK_EXPORT!C27</x:f>
        <x:v>REC-006</x:v>
      </x:c>
      <x:c r="E28" s="32" t="n">
        <x:f>BANK_EXPORT!D27</x:f>
        <x:v>1400</x:v>
      </x:c>
      <x:c r="F28" t="str">
        <x:f>IF(OR(D28="BANK-FEE",D28="BANK-INT"),"BOOK ADJUSTMENT",IF(COUNTIFS(CASH_MATCH!$B$6:$B$34,D28,CASH_MATCH!$D$6:$D$34,E28)=1,"MATCHED","INVESTIGATE"))</x:f>
        <x:v>MATCHED</x:v>
      </x:c>
    </x:row>
    <x:row r="29">
      <x:c r="D29" s="30" t="str">
        <x:f>BANK_EXPORT!C28</x:f>
        <x:v>REC-011</x:v>
      </x:c>
      <x:c r="E29" s="32" t="n">
        <x:f>BANK_EXPORT!D28</x:f>
        <x:v>3900</x:v>
      </x:c>
      <x:c r="F29" t="str">
        <x:f>IF(OR(D29="BANK-FEE",D29="BANK-INT"),"BOOK ADJUSTMENT",IF(COUNTIFS(CASH_MATCH!$B$6:$B$34,D29,CASH_MATCH!$D$6:$D$34,E29)=1,"MATCHED","INVESTIGATE"))</x:f>
        <x:v>MATCHED</x:v>
      </x:c>
    </x:row>
    <x:row r="30">
      <x:c r="D30" s="30" t="str">
        <x:f>BANK_EXPORT!C29</x:f>
        <x:v>REC-007</x:v>
      </x:c>
      <x:c r="E30" s="32" t="n">
        <x:f>BANK_EXPORT!D29</x:f>
        <x:v>2900</x:v>
      </x:c>
      <x:c r="F30" t="str">
        <x:f>IF(OR(D30="BANK-FEE",D30="BANK-INT"),"BOOK ADJUSTMENT",IF(COUNTIFS(CASH_MATCH!$B$6:$B$34,D30,CASH_MATCH!$D$6:$D$34,E30)=1,"MATCHED","INVESTIGATE"))</x:f>
        <x:v>MATCHED</x:v>
      </x:c>
    </x:row>
    <x:row r="31">
      <x:c r="D31" s="30" t="str">
        <x:f>BANK_EXPORT!C30</x:f>
        <x:v>REC-012</x:v>
      </x:c>
      <x:c r="E31" s="32" t="n">
        <x:f>BANK_EXPORT!D30</x:f>
        <x:v>4800</x:v>
      </x:c>
      <x:c r="F31" t="str">
        <x:f>IF(OR(D31="BANK-FEE",D31="BANK-INT"),"BOOK ADJUSTMENT",IF(COUNTIFS(CASH_MATCH!$B$6:$B$34,D31,CASH_MATCH!$D$6:$D$34,E31)=1,"MATCHED","INVESTIGATE"))</x:f>
        <x:v>MATCHED</x:v>
      </x:c>
    </x:row>
    <x:row r="32">
      <x:c r="D32" s="30" t="str">
        <x:f>BANK_EXPORT!C31</x:f>
        <x:v>REC-013</x:v>
      </x:c>
      <x:c r="E32" s="32" t="n">
        <x:f>BANK_EXPORT!D31</x:f>
        <x:v>2000</x:v>
      </x:c>
      <x:c r="F32" t="str">
        <x:f>IF(OR(D32="BANK-FEE",D32="BANK-INT"),"BOOK ADJUSTMENT",IF(COUNTIFS(CASH_MATCH!$B$6:$B$34,D32,CASH_MATCH!$D$6:$D$34,E32)=1,"MATCHED","INVESTIGATE"))</x:f>
        <x:v>MATCHED</x:v>
      </x:c>
    </x:row>
    <x:row r="33">
      <x:c r="D33" s="30" t="str">
        <x:f>BANK_EXPORT!C32</x:f>
        <x:v>BANK-FEE</x:v>
      </x:c>
      <x:c r="E33" s="32" t="n">
        <x:f>BANK_EXPORT!D32</x:f>
        <x:v>-55</x:v>
      </x:c>
      <x:c r="F33" t="str">
        <x:f>IF(OR(D33="BANK-FEE",D33="BANK-INT"),"BOOK ADJUSTMENT",IF(COUNTIFS(CASH_MATCH!$B$6:$B$34,D33,CASH_MATCH!$D$6:$D$34,E33)=1,"MATCHED","INVESTIGATE"))</x:f>
        <x:v>BOOK ADJUSTMENT</x:v>
      </x:c>
    </x:row>
    <x:row r="34">
      <x:c r="D34" s="30" t="str">
        <x:f>BANK_EXPORT!C33</x:f>
        <x:v>BANK-INT</x:v>
      </x:c>
      <x:c r="E34" s="32" t="n">
        <x:f>BANK_EXPORT!D33</x:f>
        <x:v>15</x:v>
      </x:c>
      <x:c r="F34" t="str">
        <x:f>IF(OR(D34="BANK-FEE",D34="BANK-INT"),"BOOK ADJUSTMENT",IF(COUNTIFS(CASH_MATCH!$B$6:$B$34,D34,CASH_MATCH!$D$6:$D$34,E34)=1,"MATCHED","INVESTIGATE"))</x:f>
        <x:v>BOOK ADJUSTMENT</x:v>
      </x:c>
    </x:row>
    <x:row r="35">
      <x:c r="D35" s="30"/>
      <x:c r="E35" s="32"/>
    </x:row>
    <x:row r="36">
      <x:c r="D36" s="30"/>
      <x:c r="E36" s="32"/>
    </x:row>
    <x:row r="37">
      <x:c r="D37" s="30"/>
      <x:c r="E37" s="32"/>
    </x:row>
    <x:row r="38">
      <x:c r="D38" s="30"/>
      <x:c r="E38" s="32"/>
    </x:row>
    <x:row r="39">
      <x:c r="D39" s="30"/>
      <x:c r="E39" s="32"/>
    </x:row>
    <x:row r="40">
      <x:c r="D40" s="30"/>
      <x:c r="E40" s="32"/>
    </x:row>
    <x:row r="41">
      <x:c r="D41" s="30"/>
      <x:c r="E41" s="32"/>
    </x:row>
    <x:row r="42">
      <x:c r="D42" s="30"/>
      <x:c r="E42" s="32"/>
    </x:row>
    <x:row r="43">
      <x:c r="D43" s="30"/>
      <x:c r="E43" s="32"/>
    </x:row>
    <x:row r="44">
      <x:c r="D44" s="30"/>
      <x:c r="E44" s="32"/>
    </x:row>
    <x:row r="45">
      <x:c r="D45" s="30"/>
      <x:c r="E45" s="32"/>
    </x:row>
    <x:row r="46">
      <x:c r="D46" s="30"/>
      <x:c r="E46" s="32"/>
    </x:row>
    <x:row r="47">
      <x:c r="D47" s="30"/>
      <x:c r="E47" s="32"/>
    </x:row>
    <x:row r="48">
      <x:c r="D48" s="30"/>
      <x:c r="E48" s="32"/>
    </x:row>
    <x:row r="49">
      <x:c r="D49" s="30"/>
      <x:c r="E49" s="32"/>
    </x:row>
    <x:row r="50">
      <x:c r="D50" s="30"/>
      <x:c r="E50" s="32"/>
    </x:row>
    <x:row r="51">
      <x:c r="D51" s="30"/>
      <x:c r="E51" s="32"/>
    </x:row>
    <x:row r="52">
      <x:c r="D52" s="30"/>
      <x:c r="E52" s="32"/>
    </x:row>
    <x:row r="53">
      <x:c r="D53" s="30"/>
      <x:c r="E53" s="32"/>
    </x:row>
    <x:row r="54">
      <x:c r="D54" s="30"/>
      <x:c r="E54" s="32"/>
    </x:row>
    <x:row r="55">
      <x:c r="D55" s="30"/>
      <x:c r="E55" s="32"/>
    </x:row>
    <x:row r="56">
      <x:c r="D56" s="30"/>
      <x:c r="E56" s="32"/>
    </x:row>
    <x:row r="57">
      <x:c r="D57" s="30"/>
      <x:c r="E57" s="32"/>
    </x:row>
    <x:row r="58">
      <x:c r="D58" s="30"/>
      <x:c r="E58" s="32"/>
    </x:row>
    <x:row r="59">
      <x:c r="D59" s="30"/>
      <x:c r="E59" s="32"/>
    </x:row>
    <x:row r="60">
      <x:c r="D60" s="30"/>
      <x:c r="E60" s="32"/>
    </x:row>
    <x:row r="61">
      <x:c r="D61" s="30"/>
      <x:c r="E61" s="32"/>
    </x:row>
    <x:row r="62">
      <x:c r="D62" s="30"/>
      <x:c r="E62" s="32"/>
    </x:row>
    <x:row r="63">
      <x:c r="D63" s="30"/>
      <x:c r="E63" s="32"/>
    </x:row>
    <x:row r="64">
      <x:c r="D64" s="30"/>
      <x:c r="E64" s="32"/>
    </x:row>
    <x:row r="65">
      <x:c r="D65" s="30"/>
      <x:c r="E65" s="32"/>
    </x:row>
    <x:row r="66">
      <x:c r="D66" s="30"/>
      <x:c r="E66" s="32"/>
    </x:row>
    <x:row r="67">
      <x:c r="D67" s="30"/>
      <x:c r="E67" s="32"/>
    </x:row>
    <x:row r="68">
      <x:c r="D68" s="30"/>
      <x:c r="E68" s="32"/>
    </x:row>
    <x:row r="69">
      <x:c r="D69" s="30"/>
      <x:c r="E69" s="32"/>
    </x:row>
    <x:row r="70">
      <x:c r="D70" s="30"/>
      <x:c r="E70" s="32"/>
    </x:row>
    <x:row r="71">
      <x:c r="D71" s="30"/>
      <x:c r="E71" s="32"/>
    </x:row>
    <x:row r="72">
      <x:c r="D72" s="30"/>
      <x:c r="E72" s="32"/>
    </x:row>
    <x:row r="73">
      <x:c r="D73" s="30"/>
      <x:c r="E73" s="32"/>
    </x:row>
    <x:row r="74">
      <x:c r="D74" s="30"/>
      <x:c r="E74" s="32"/>
    </x:row>
    <x:row r="75">
      <x:c r="D75" s="30"/>
      <x:c r="E75" s="32"/>
    </x:row>
    <x:row r="76">
      <x:c r="D76" s="30"/>
      <x:c r="E76" s="32"/>
    </x:row>
    <x:row r="77">
      <x:c r="D77" s="30"/>
      <x:c r="E77" s="32"/>
    </x:row>
    <x:row r="78">
      <x:c r="D78" s="30"/>
      <x:c r="E78" s="32"/>
    </x:row>
    <x:row r="79">
      <x:c r="D79" s="30"/>
      <x:c r="E79" s="32"/>
    </x:row>
    <x:row r="80">
      <x:c r="D80" s="30"/>
      <x:c r="E80" s="32"/>
    </x:row>
    <x:row r="81">
      <x:c r="D81" s="30"/>
      <x:c r="E81" s="32"/>
    </x:row>
    <x:row r="82">
      <x:c r="D82" s="30"/>
      <x:c r="E82" s="32"/>
    </x:row>
    <x:row r="83">
      <x:c r="D83" s="30"/>
      <x:c r="E83" s="32"/>
    </x:row>
    <x:row r="84">
      <x:c r="D84" s="30"/>
      <x:c r="E84" s="32"/>
    </x:row>
    <x:row r="85">
      <x:c r="D85" s="30"/>
      <x:c r="E85" s="32"/>
    </x:row>
    <x:row r="86">
      <x:c r="D86" s="30"/>
      <x:c r="E86" s="32"/>
    </x:row>
    <x:row r="87">
      <x:c r="D87" s="30"/>
      <x:c r="E87" s="32"/>
    </x:row>
    <x:row r="88">
      <x:c r="D88" s="30"/>
      <x:c r="E88" s="32"/>
    </x:row>
    <x:row r="89">
      <x:c r="D89" s="30"/>
      <x:c r="E89" s="32"/>
    </x:row>
    <x:row r="90">
      <x:c r="D90" s="30"/>
      <x:c r="E90" s="32"/>
    </x:row>
    <x:row r="91">
      <x:c r="D91" s="30"/>
      <x:c r="E91" s="32"/>
    </x:row>
    <x:row r="92">
      <x:c r="D92" s="30"/>
      <x:c r="E92" s="32"/>
    </x:row>
    <x:row r="93">
      <x:c r="D93" s="30"/>
      <x:c r="E93" s="32"/>
    </x:row>
    <x:row r="94">
      <x:c r="D94" s="30"/>
      <x:c r="E94" s="32"/>
    </x:row>
    <x:row r="95">
      <x:c r="D95" s="30"/>
      <x:c r="E95" s="32"/>
    </x:row>
    <x:row r="96">
      <x:c r="D96" s="30"/>
      <x:c r="E96" s="32"/>
    </x:row>
    <x:row r="97">
      <x:c r="D97" s="30"/>
      <x:c r="E97" s="32"/>
    </x:row>
    <x:row r="98">
      <x:c r="D98" s="30"/>
      <x:c r="E98" s="32"/>
    </x:row>
    <x:row r="99">
      <x:c r="D99" s="30"/>
      <x:c r="E99" s="32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4" hidden="0" customWidth="1"/>
    <x:col min="3" max="3" width="18" hidden="0" customWidth="1"/>
    <x:col min="4" max="4" width="18" hidden="0" customWidth="1"/>
    <x:col min="5" max="5" width="17" hidden="0" customWidth="1"/>
    <x:col min="6" max="6" width="22" hidden="0" customWidth="1"/>
    <x:col min="7" max="7" width="23" hidden="0" customWidth="1"/>
    <x:col min="8" max="8" width="18" hidden="0" customWidth="1"/>
    <x:col min="9" max="9" width="16" hidden="0" customWidth="1"/>
    <x:col min="10" max="10" width="20" hidden="0" customWidth="1"/>
    <x:col min="11" max="11" width="20" hidden="0" customWidth="1"/>
  </x:cols>
  <x:sheetData>
    <x:row r="1" ht="32" customHeight="1">
      <x:c r="A1" s="8" t="str">
        <x:v>WORKPAPER C  •  ACCOUNTS RECEIVABLE AGING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5" ht="29" customHeight="1">
      <x:c r="A5" s="24" t="str">
        <x:v>Invoice</x:v>
      </x:c>
      <x:c r="B5" s="24" t="str">
        <x:v>Customer</x:v>
      </x:c>
      <x:c r="C5" s="24" t="str">
        <x:v>Invoice date</x:v>
      </x:c>
      <x:c r="D5" s="24" t="str">
        <x:v>Due date</x:v>
      </x:c>
      <x:c r="E5" s="24" t="str">
        <x:v>Gross USD</x:v>
      </x:c>
      <x:c r="F5" s="24" t="str">
        <x:v>Receipts to cut-off</x:v>
      </x:c>
      <x:c r="G5" s="24" t="str">
        <x:v>Credit notes to cut-off</x:v>
      </x:c>
      <x:c r="H5" s="24" t="str">
        <x:v>Open USD</x:v>
      </x:c>
      <x:c r="I5" s="24" t="str">
        <x:v>Days overdue</x:v>
      </x:c>
      <x:c r="J5" s="24" t="str">
        <x:v>Aging bucket</x:v>
      </x:c>
      <x:c r="K5" s="24" t="str">
        <x:v>Review</x:v>
      </x:c>
    </x:row>
    <x:row r="6">
      <x:c r="A6" t="str">
        <x:f>INVOICES!A6</x:f>
        <x:v>INV-2603-101</x:v>
      </x:c>
      <x:c r="B6" t="str">
        <x:f>INVOICES!B6</x:f>
        <x:v>Aster Retail</x:v>
      </x:c>
      <x:c r="C6" s="10" t="n">
        <x:f>INVOICES!C6</x:f>
        <x:v>46109</x:v>
      </x:c>
      <x:c r="D6" s="10" t="n">
        <x:f>INVOICES!D6</x:f>
        <x:v>46139</x:v>
      </x:c>
      <x:c r="E6" s="12" t="n">
        <x:f>INVOICES!E6</x:f>
        <x:v>5400</x:v>
      </x:c>
      <x:c r="F6" s="12" t="n">
        <x:f>SUMIFS(RECEIPTS!$D$6:$D$20,RECEIPTS!$B$6:$B$20,A6,RECEIPTS!$C$6:$C$20,"&lt;="&amp;READ_ME!$B$6)</x:f>
        <x:v>5400</x:v>
      </x:c>
      <x:c r="G6" s="12" t="n">
        <x:f>SUMIFS(CREDIT_NOTES!$D$6:$D$6,CREDIT_NOTES!$B$6:$B$6,A6,CREDIT_NOTES!$C$6:$C$6,"&lt;="&amp;READ_ME!$B$6)</x:f>
        <x:v>0</x:v>
      </x:c>
      <x:c r="H6" s="12" t="n">
        <x:f>ROUND(E6-F6-G6,2)</x:f>
        <x:v>0</x:v>
      </x:c>
      <x:c r="I6" t="n">
        <x:f>IF(H6&lt;=0,0,MAX(0,READ_ME!$B$6-D6))</x:f>
        <x:v>0</x:v>
      </x:c>
      <x:c r="J6" t="str">
        <x:f>IF(H6&lt;0,"OVERPAID",IF(H6=0,"CLOSED",IF(I6=0,"CURRENT",IF(I6&lt;=30,"1-30",IF(I6&lt;=60,"31-60","61+")))))</x:f>
        <x:v>CLOSED</x:v>
      </x:c>
      <x:c r="K6" t="str">
        <x:f>IF(H6&lt;0,"INVESTIGATE OVERPAYMENT","OK")</x:f>
        <x:v>OK</x:v>
      </x:c>
    </x:row>
    <x:row r="7">
      <x:c r="A7" t="str">
        <x:f>INVOICES!A7</x:f>
        <x:v>INV-2604-102</x:v>
      </x:c>
      <x:c r="B7" t="str">
        <x:f>INVOICES!B7</x:f>
        <x:v>Dune Media</x:v>
      </x:c>
      <x:c r="C7" s="10" t="n">
        <x:f>INVOICES!C7</x:f>
        <x:v>46119</x:v>
      </x:c>
      <x:c r="D7" s="10" t="n">
        <x:f>INVOICES!D7</x:f>
        <x:v>46149</x:v>
      </x:c>
      <x:c r="E7" s="12" t="n">
        <x:f>INVOICES!E7</x:f>
        <x:v>3250</x:v>
      </x:c>
      <x:c r="F7" s="12" t="n">
        <x:f>SUMIFS(RECEIPTS!$D$6:$D$20,RECEIPTS!$B$6:$B$20,A7,RECEIPTS!$C$6:$C$20,"&lt;="&amp;READ_ME!$B$6)</x:f>
        <x:v>1300</x:v>
      </x:c>
      <x:c r="G7" s="12" t="n">
        <x:f>SUMIFS(CREDIT_NOTES!$D$6:$D$6,CREDIT_NOTES!$B$6:$B$6,A7,CREDIT_NOTES!$C$6:$C$6,"&lt;="&amp;READ_ME!$B$6)</x:f>
        <x:v>180</x:v>
      </x:c>
      <x:c r="H7" s="12" t="n">
        <x:f>ROUND(E7-F7-G7,2)</x:f>
        <x:v>1770</x:v>
      </x:c>
      <x:c r="I7" t="n">
        <x:f>IF(H7&lt;=0,0,MAX(0,READ_ME!$B$6-D7))</x:f>
        <x:v>24</x:v>
      </x:c>
      <x:c r="J7" t="str">
        <x:f>IF(H7&lt;0,"OVERPAID",IF(H7=0,"CLOSED",IF(I7=0,"CURRENT",IF(I7&lt;=30,"1-30",IF(I7&lt;=60,"31-60","61+")))))</x:f>
        <x:v>1-30</x:v>
      </x:c>
      <x:c r="K7" t="str">
        <x:f>IF(H7&lt;0,"INVESTIGATE OVERPAYMENT","OK")</x:f>
        <x:v>OK</x:v>
      </x:c>
    </x:row>
    <x:row r="8">
      <x:c r="A8" t="str">
        <x:f>INVOICES!A8</x:f>
        <x:v>INV-2604-103</x:v>
      </x:c>
      <x:c r="B8" t="str">
        <x:f>INVOICES!B8</x:f>
        <x:v>Garnet Works</x:v>
      </x:c>
      <x:c r="C8" s="10" t="n">
        <x:f>INVOICES!C8</x:f>
        <x:v>46124</x:v>
      </x:c>
      <x:c r="D8" s="10" t="n">
        <x:f>INVOICES!D8</x:f>
        <x:v>46154</x:v>
      </x:c>
      <x:c r="E8" s="12" t="n">
        <x:f>INVOICES!E8</x:f>
        <x:v>2100</x:v>
      </x:c>
      <x:c r="F8" s="12" t="n">
        <x:f>SUMIFS(RECEIPTS!$D$6:$D$20,RECEIPTS!$B$6:$B$20,A8,RECEIPTS!$C$6:$C$20,"&lt;="&amp;READ_ME!$B$6)</x:f>
        <x:v>2100</x:v>
      </x:c>
      <x:c r="G8" s="12" t="n">
        <x:f>SUMIFS(CREDIT_NOTES!$D$6:$D$6,CREDIT_NOTES!$B$6:$B$6,A8,CREDIT_NOTES!$C$6:$C$6,"&lt;="&amp;READ_ME!$B$6)</x:f>
        <x:v>0</x:v>
      </x:c>
      <x:c r="H8" s="12" t="n">
        <x:f>ROUND(E8-F8-G8,2)</x:f>
        <x:v>0</x:v>
      </x:c>
      <x:c r="I8" t="n">
        <x:f>IF(H8&lt;=0,0,MAX(0,READ_ME!$B$6-D8))</x:f>
        <x:v>0</x:v>
      </x:c>
      <x:c r="J8" t="str">
        <x:f>IF(H8&lt;0,"OVERPAID",IF(H8=0,"CLOSED",IF(I8=0,"CURRENT",IF(I8&lt;=30,"1-30",IF(I8&lt;=60,"31-60","61+")))))</x:f>
        <x:v>CLOSED</x:v>
      </x:c>
      <x:c r="K8" t="str">
        <x:f>IF(H8&lt;0,"INVESTIGATE OVERPAYMENT","OK")</x:f>
        <x:v>OK</x:v>
      </x:c>
    </x:row>
    <x:row r="9">
      <x:c r="A9" t="str">
        <x:f>INVOICES!A9</x:f>
        <x:v>INV-2604-104</x:v>
      </x:c>
      <x:c r="B9" t="str">
        <x:f>INVOICES!B9</x:f>
        <x:v>Beacon Foods</x:v>
      </x:c>
      <x:c r="C9" s="10" t="n">
        <x:f>INVOICES!C9</x:f>
        <x:v>46129</x:v>
      </x:c>
      <x:c r="D9" s="10" t="n">
        <x:f>INVOICES!D9</x:f>
        <x:v>46159</x:v>
      </x:c>
      <x:c r="E9" s="12" t="n">
        <x:f>INVOICES!E9</x:f>
        <x:v>4750</x:v>
      </x:c>
      <x:c r="F9" s="12" t="n">
        <x:f>SUMIFS(RECEIPTS!$D$6:$D$20,RECEIPTS!$B$6:$B$20,A9,RECEIPTS!$C$6:$C$20,"&lt;="&amp;READ_ME!$B$6)</x:f>
        <x:v>3100</x:v>
      </x:c>
      <x:c r="G9" s="12" t="n">
        <x:f>SUMIFS(CREDIT_NOTES!$D$6:$D$6,CREDIT_NOTES!$B$6:$B$6,A9,CREDIT_NOTES!$C$6:$C$6,"&lt;="&amp;READ_ME!$B$6)</x:f>
        <x:v>0</x:v>
      </x:c>
      <x:c r="H9" s="12" t="n">
        <x:f>ROUND(E9-F9-G9,2)</x:f>
        <x:v>1650</x:v>
      </x:c>
      <x:c r="I9" t="n">
        <x:f>IF(H9&lt;=0,0,MAX(0,READ_ME!$B$6-D9))</x:f>
        <x:v>14</x:v>
      </x:c>
      <x:c r="J9" t="str">
        <x:f>IF(H9&lt;0,"OVERPAID",IF(H9=0,"CLOSED",IF(I9=0,"CURRENT",IF(I9&lt;=30,"1-30",IF(I9&lt;=60,"31-60","61+")))))</x:f>
        <x:v>1-30</x:v>
      </x:c>
      <x:c r="K9" t="str">
        <x:f>IF(H9&lt;0,"INVESTIGATE OVERPAYMENT","OK")</x:f>
        <x:v>OK</x:v>
      </x:c>
    </x:row>
    <x:row r="10">
      <x:c r="A10" t="str">
        <x:f>INVOICES!A10</x:f>
        <x:v>INV-2604-105</x:v>
      </x:c>
      <x:c r="B10" t="str">
        <x:f>INVOICES!B10</x:f>
        <x:v>Evergreen Tech</x:v>
      </x:c>
      <x:c r="C10" s="10" t="n">
        <x:f>INVOICES!C10</x:f>
        <x:v>46133</x:v>
      </x:c>
      <x:c r="D10" s="10" t="n">
        <x:f>INVOICES!D10</x:f>
        <x:v>46163</x:v>
      </x:c>
      <x:c r="E10" s="12" t="n">
        <x:f>INVOICES!E10</x:f>
        <x:v>1650</x:v>
      </x:c>
      <x:c r="F10" s="12" t="n">
        <x:f>SUMIFS(RECEIPTS!$D$6:$D$20,RECEIPTS!$B$6:$B$20,A10,RECEIPTS!$C$6:$C$20,"&lt;="&amp;READ_ME!$B$6)</x:f>
        <x:v>1650</x:v>
      </x:c>
      <x:c r="G10" s="12" t="n">
        <x:f>SUMIFS(CREDIT_NOTES!$D$6:$D$6,CREDIT_NOTES!$B$6:$B$6,A10,CREDIT_NOTES!$C$6:$C$6,"&lt;="&amp;READ_ME!$B$6)</x:f>
        <x:v>0</x:v>
      </x:c>
      <x:c r="H10" s="12" t="n">
        <x:f>ROUND(E10-F10-G10,2)</x:f>
        <x:v>0</x:v>
      </x:c>
      <x:c r="I10" t="n">
        <x:f>IF(H10&lt;=0,0,MAX(0,READ_ME!$B$6-D10))</x:f>
        <x:v>0</x:v>
      </x:c>
      <x:c r="J10" t="str">
        <x:f>IF(H10&lt;0,"OVERPAID",IF(H10=0,"CLOSED",IF(I10=0,"CURRENT",IF(I10&lt;=30,"1-30",IF(I10&lt;=60,"31-60","61+")))))</x:f>
        <x:v>CLOSED</x:v>
      </x:c>
      <x:c r="K10" t="str">
        <x:f>IF(H10&lt;0,"INVESTIGATE OVERPAYMENT","OK")</x:f>
        <x:v>OK</x:v>
      </x:c>
    </x:row>
    <x:row r="11">
      <x:c r="A11" t="str">
        <x:f>INVOICES!A11</x:f>
        <x:v>INV-2604-106</x:v>
      </x:c>
      <x:c r="B11" t="str">
        <x:f>INVOICES!B11</x:f>
        <x:v>Harbor Services</x:v>
      </x:c>
      <x:c r="C11" s="10" t="n">
        <x:f>INVOICES!C11</x:f>
        <x:v>46136</x:v>
      </x:c>
      <x:c r="D11" s="10" t="n">
        <x:f>INVOICES!D11</x:f>
        <x:v>46166</x:v>
      </x:c>
      <x:c r="E11" s="12" t="n">
        <x:f>INVOICES!E11</x:f>
        <x:v>3600</x:v>
      </x:c>
      <x:c r="F11" s="12" t="n">
        <x:f>SUMIFS(RECEIPTS!$D$6:$D$20,RECEIPTS!$B$6:$B$20,A11,RECEIPTS!$C$6:$C$20,"&lt;="&amp;READ_ME!$B$6)</x:f>
        <x:v>1400</x:v>
      </x:c>
      <x:c r="G11" s="12" t="n">
        <x:f>SUMIFS(CREDIT_NOTES!$D$6:$D$6,CREDIT_NOTES!$B$6:$B$6,A11,CREDIT_NOTES!$C$6:$C$6,"&lt;="&amp;READ_ME!$B$6)</x:f>
        <x:v>0</x:v>
      </x:c>
      <x:c r="H11" s="12" t="n">
        <x:f>ROUND(E11-F11-G11,2)</x:f>
        <x:v>2200</x:v>
      </x:c>
      <x:c r="I11" t="n">
        <x:f>IF(H11&lt;=0,0,MAX(0,READ_ME!$B$6-D11))</x:f>
        <x:v>7</x:v>
      </x:c>
      <x:c r="J11" t="str">
        <x:f>IF(H11&lt;0,"OVERPAID",IF(H11=0,"CLOSED",IF(I11=0,"CURRENT",IF(I11&lt;=30,"1-30",IF(I11&lt;=60,"31-60","61+")))))</x:f>
        <x:v>1-30</x:v>
      </x:c>
      <x:c r="K11" t="str">
        <x:f>IF(H11&lt;0,"INVESTIGATE OVERPAYMENT","OK")</x:f>
        <x:v>OK</x:v>
      </x:c>
    </x:row>
    <x:row r="12">
      <x:c r="A12" t="str">
        <x:f>INVOICES!A12</x:f>
        <x:v>INV-2604-107</x:v>
      </x:c>
      <x:c r="B12" t="str">
        <x:f>INVOICES!B12</x:f>
        <x:v>Cedar Logistics</x:v>
      </x:c>
      <x:c r="C12" s="10" t="n">
        <x:f>INVOICES!C12</x:f>
        <x:v>46138</x:v>
      </x:c>
      <x:c r="D12" s="10" t="n">
        <x:f>INVOICES!D12</x:f>
        <x:v>46168</x:v>
      </x:c>
      <x:c r="E12" s="12" t="n">
        <x:f>INVOICES!E12</x:f>
        <x:v>2900</x:v>
      </x:c>
      <x:c r="F12" s="12" t="n">
        <x:f>SUMIFS(RECEIPTS!$D$6:$D$20,RECEIPTS!$B$6:$B$20,A12,RECEIPTS!$C$6:$C$20,"&lt;="&amp;READ_ME!$B$6)</x:f>
        <x:v>2900</x:v>
      </x:c>
      <x:c r="G12" s="12" t="n">
        <x:f>SUMIFS(CREDIT_NOTES!$D$6:$D$6,CREDIT_NOTES!$B$6:$B$6,A12,CREDIT_NOTES!$C$6:$C$6,"&lt;="&amp;READ_ME!$B$6)</x:f>
        <x:v>0</x:v>
      </x:c>
      <x:c r="H12" s="12" t="n">
        <x:f>ROUND(E12-F12-G12,2)</x:f>
        <x:v>0</x:v>
      </x:c>
      <x:c r="I12" t="n">
        <x:f>IF(H12&lt;=0,0,MAX(0,READ_ME!$B$6-D12))</x:f>
        <x:v>0</x:v>
      </x:c>
      <x:c r="J12" t="str">
        <x:f>IF(H12&lt;0,"OVERPAID",IF(H12=0,"CLOSED",IF(I12=0,"CURRENT",IF(I12&lt;=30,"1-30",IF(I12&lt;=60,"31-60","61+")))))</x:f>
        <x:v>CLOSED</x:v>
      </x:c>
      <x:c r="K12" t="str">
        <x:f>IF(H12&lt;0,"INVESTIGATE OVERPAYMENT","OK")</x:f>
        <x:v>OK</x:v>
      </x:c>
    </x:row>
    <x:row r="13">
      <x:c r="A13" t="str">
        <x:f>INVOICES!A13</x:f>
        <x:v>INV-2604-108</x:v>
      </x:c>
      <x:c r="B13" t="str">
        <x:f>INVOICES!B13</x:f>
        <x:v>Falcon Supply</x:v>
      </x:c>
      <x:c r="C13" s="10" t="n">
        <x:f>INVOICES!C13</x:f>
        <x:v>46141</x:v>
      </x:c>
      <x:c r="D13" s="10" t="n">
        <x:f>INVOICES!D13</x:f>
        <x:v>46171</x:v>
      </x:c>
      <x:c r="E13" s="12" t="n">
        <x:f>INVOICES!E13</x:f>
        <x:v>1850</x:v>
      </x:c>
      <x:c r="F13" s="12" t="n">
        <x:f>SUMIFS(RECEIPTS!$D$6:$D$20,RECEIPTS!$B$6:$B$20,A13,RECEIPTS!$C$6:$C$20,"&lt;="&amp;READ_ME!$B$6)</x:f>
        <x:v>0</x:v>
      </x:c>
      <x:c r="G13" s="12" t="n">
        <x:f>SUMIFS(CREDIT_NOTES!$D$6:$D$6,CREDIT_NOTES!$B$6:$B$6,A13,CREDIT_NOTES!$C$6:$C$6,"&lt;="&amp;READ_ME!$B$6)</x:f>
        <x:v>0</x:v>
      </x:c>
      <x:c r="H13" s="12" t="n">
        <x:f>ROUND(E13-F13-G13,2)</x:f>
        <x:v>1850</x:v>
      </x:c>
      <x:c r="I13" t="n">
        <x:f>IF(H13&lt;=0,0,MAX(0,READ_ME!$B$6-D13))</x:f>
        <x:v>2</x:v>
      </x:c>
      <x:c r="J13" t="str">
        <x:f>IF(H13&lt;0,"OVERPAID",IF(H13=0,"CLOSED",IF(I13=0,"CURRENT",IF(I13&lt;=30,"1-30",IF(I13&lt;=60,"31-60","61+")))))</x:f>
        <x:v>1-30</x:v>
      </x:c>
      <x:c r="K13" t="str">
        <x:f>IF(H13&lt;0,"INVESTIGATE OVERPAYMENT","OK")</x:f>
        <x:v>OK</x:v>
      </x:c>
    </x:row>
    <x:row r="14">
      <x:c r="A14" t="str">
        <x:f>INVOICES!A14</x:f>
        <x:v>INV-2605-201</x:v>
      </x:c>
      <x:c r="B14" t="str">
        <x:f>INVOICES!B14</x:f>
        <x:v>Aster Retail</x:v>
      </x:c>
      <x:c r="C14" s="10" t="n">
        <x:f>INVOICES!C14</x:f>
        <x:v>46144</x:v>
      </x:c>
      <x:c r="D14" s="10" t="n">
        <x:f>INVOICES!D14</x:f>
        <x:v>46174</x:v>
      </x:c>
      <x:c r="E14" s="12" t="n">
        <x:f>INVOICES!E14</x:f>
        <x:v>5750</x:v>
      </x:c>
      <x:c r="F14" s="12" t="n">
        <x:f>SUMIFS(RECEIPTS!$D$6:$D$20,RECEIPTS!$B$6:$B$20,A14,RECEIPTS!$C$6:$C$20,"&lt;="&amp;READ_ME!$B$6)</x:f>
        <x:v>5750</x:v>
      </x:c>
      <x:c r="G14" s="12" t="n">
        <x:f>SUMIFS(CREDIT_NOTES!$D$6:$D$6,CREDIT_NOTES!$B$6:$B$6,A14,CREDIT_NOTES!$C$6:$C$6,"&lt;="&amp;READ_ME!$B$6)</x:f>
        <x:v>0</x:v>
      </x:c>
      <x:c r="H14" s="12" t="n">
        <x:f>ROUND(E14-F14-G14,2)</x:f>
        <x:v>0</x:v>
      </x:c>
      <x:c r="I14" t="n">
        <x:f>IF(H14&lt;=0,0,MAX(0,READ_ME!$B$6-D14))</x:f>
        <x:v>0</x:v>
      </x:c>
      <x:c r="J14" t="str">
        <x:f>IF(H14&lt;0,"OVERPAID",IF(H14=0,"CLOSED",IF(I14=0,"CURRENT",IF(I14&lt;=30,"1-30",IF(I14&lt;=60,"31-60","61+")))))</x:f>
        <x:v>CLOSED</x:v>
      </x:c>
      <x:c r="K14" t="str">
        <x:f>IF(H14&lt;0,"INVESTIGATE OVERPAYMENT","OK")</x:f>
        <x:v>OK</x:v>
      </x:c>
    </x:row>
    <x:row r="15">
      <x:c r="A15" t="str">
        <x:f>INVOICES!A15</x:f>
        <x:v>INV-2605-202</x:v>
      </x:c>
      <x:c r="B15" t="str">
        <x:f>INVOICES!B15</x:f>
        <x:v>Dune Media</x:v>
      </x:c>
      <x:c r="C15" s="10" t="n">
        <x:f>INVOICES!C15</x:f>
        <x:v>46146</x:v>
      </x:c>
      <x:c r="D15" s="10" t="n">
        <x:f>INVOICES!D15</x:f>
        <x:v>46176</x:v>
      </x:c>
      <x:c r="E15" s="12" t="n">
        <x:f>INVOICES!E15</x:f>
        <x:v>6450</x:v>
      </x:c>
      <x:c r="F15" s="12" t="n">
        <x:f>SUMIFS(RECEIPTS!$D$6:$D$20,RECEIPTS!$B$6:$B$20,A15,RECEIPTS!$C$6:$C$20,"&lt;="&amp;READ_ME!$B$6)</x:f>
        <x:v>3000</x:v>
      </x:c>
      <x:c r="G15" s="12" t="n">
        <x:f>SUMIFS(CREDIT_NOTES!$D$6:$D$6,CREDIT_NOTES!$B$6:$B$6,A15,CREDIT_NOTES!$C$6:$C$6,"&lt;="&amp;READ_ME!$B$6)</x:f>
        <x:v>0</x:v>
      </x:c>
      <x:c r="H15" s="12" t="n">
        <x:f>ROUND(E15-F15-G15,2)</x:f>
        <x:v>3450</x:v>
      </x:c>
      <x:c r="I15" t="n">
        <x:f>IF(H15&lt;=0,0,MAX(0,READ_ME!$B$6-D15))</x:f>
        <x:v>0</x:v>
      </x:c>
      <x:c r="J15" t="str">
        <x:f>IF(H15&lt;0,"OVERPAID",IF(H15=0,"CLOSED",IF(I15=0,"CURRENT",IF(I15&lt;=30,"1-30",IF(I15&lt;=60,"31-60","61+")))))</x:f>
        <x:v>CURRENT</x:v>
      </x:c>
      <x:c r="K15" t="str">
        <x:f>IF(H15&lt;0,"INVESTIGATE OVERPAYMENT","OK")</x:f>
        <x:v>OK</x:v>
      </x:c>
    </x:row>
    <x:row r="16">
      <x:c r="A16" t="str">
        <x:f>INVOICES!A16</x:f>
        <x:v>INV-2605-203</x:v>
      </x:c>
      <x:c r="B16" t="str">
        <x:f>INVOICES!B16</x:f>
        <x:v>Garnet Works</x:v>
      </x:c>
      <x:c r="C16" s="10" t="n">
        <x:f>INVOICES!C16</x:f>
        <x:v>46148</x:v>
      </x:c>
      <x:c r="D16" s="10" t="n">
        <x:f>INVOICES!D16</x:f>
        <x:v>46178</x:v>
      </x:c>
      <x:c r="E16" s="12" t="n">
        <x:f>INVOICES!E16</x:f>
        <x:v>7200</x:v>
      </x:c>
      <x:c r="F16" s="12" t="n">
        <x:f>SUMIFS(RECEIPTS!$D$6:$D$20,RECEIPTS!$B$6:$B$20,A16,RECEIPTS!$C$6:$C$20,"&lt;="&amp;READ_ME!$B$6)</x:f>
        <x:v>7200</x:v>
      </x:c>
      <x:c r="G16" s="12" t="n">
        <x:f>SUMIFS(CREDIT_NOTES!$D$6:$D$6,CREDIT_NOTES!$B$6:$B$6,A16,CREDIT_NOTES!$C$6:$C$6,"&lt;="&amp;READ_ME!$B$6)</x:f>
        <x:v>0</x:v>
      </x:c>
      <x:c r="H16" s="12" t="n">
        <x:f>ROUND(E16-F16-G16,2)</x:f>
        <x:v>0</x:v>
      </x:c>
      <x:c r="I16" t="n">
        <x:f>IF(H16&lt;=0,0,MAX(0,READ_ME!$B$6-D16))</x:f>
        <x:v>0</x:v>
      </x:c>
      <x:c r="J16" t="str">
        <x:f>IF(H16&lt;0,"OVERPAID",IF(H16=0,"CLOSED",IF(I16=0,"CURRENT",IF(I16&lt;=30,"1-30",IF(I16&lt;=60,"31-60","61+")))))</x:f>
        <x:v>CLOSED</x:v>
      </x:c>
      <x:c r="K16" t="str">
        <x:f>IF(H16&lt;0,"INVESTIGATE OVERPAYMENT","OK")</x:f>
        <x:v>OK</x:v>
      </x:c>
    </x:row>
    <x:row r="17">
      <x:c r="A17" t="str">
        <x:f>INVOICES!A17</x:f>
        <x:v>INV-2605-204</x:v>
      </x:c>
      <x:c r="B17" t="str">
        <x:f>INVOICES!B17</x:f>
        <x:v>Beacon Foods</x:v>
      </x:c>
      <x:c r="C17" s="10" t="n">
        <x:f>INVOICES!C17</x:f>
        <x:v>46150</x:v>
      </x:c>
      <x:c r="D17" s="10" t="n">
        <x:f>INVOICES!D17</x:f>
        <x:v>46180</x:v>
      </x:c>
      <x:c r="E17" s="12" t="n">
        <x:f>INVOICES!E17</x:f>
        <x:v>3900</x:v>
      </x:c>
      <x:c r="F17" s="12" t="n">
        <x:f>SUMIFS(RECEIPTS!$D$6:$D$20,RECEIPTS!$B$6:$B$20,A17,RECEIPTS!$C$6:$C$20,"&lt;="&amp;READ_ME!$B$6)</x:f>
        <x:v>3900</x:v>
      </x:c>
      <x:c r="G17" s="12" t="n">
        <x:f>SUMIFS(CREDIT_NOTES!$D$6:$D$6,CREDIT_NOTES!$B$6:$B$6,A17,CREDIT_NOTES!$C$6:$C$6,"&lt;="&amp;READ_ME!$B$6)</x:f>
        <x:v>0</x:v>
      </x:c>
      <x:c r="H17" s="12" t="n">
        <x:f>ROUND(E17-F17-G17,2)</x:f>
        <x:v>0</x:v>
      </x:c>
      <x:c r="I17" t="n">
        <x:f>IF(H17&lt;=0,0,MAX(0,READ_ME!$B$6-D17))</x:f>
        <x:v>0</x:v>
      </x:c>
      <x:c r="J17" t="str">
        <x:f>IF(H17&lt;0,"OVERPAID",IF(H17=0,"CLOSED",IF(I17=0,"CURRENT",IF(I17&lt;=30,"1-30",IF(I17&lt;=60,"31-60","61+")))))</x:f>
        <x:v>CLOSED</x:v>
      </x:c>
      <x:c r="K17" t="str">
        <x:f>IF(H17&lt;0,"INVESTIGATE OVERPAYMENT","OK")</x:f>
        <x:v>OK</x:v>
      </x:c>
    </x:row>
    <x:row r="18">
      <x:c r="A18" t="str">
        <x:f>INVOICES!A18</x:f>
        <x:v>INV-2605-205</x:v>
      </x:c>
      <x:c r="B18" t="str">
        <x:f>INVOICES!B18</x:f>
        <x:v>Evergreen Tech</x:v>
      </x:c>
      <x:c r="C18" s="10" t="n">
        <x:f>INVOICES!C18</x:f>
        <x:v>46152</x:v>
      </x:c>
      <x:c r="D18" s="10" t="n">
        <x:f>INVOICES!D18</x:f>
        <x:v>46182</x:v>
      </x:c>
      <x:c r="E18" s="12" t="n">
        <x:f>INVOICES!E18</x:f>
        <x:v>8200</x:v>
      </x:c>
      <x:c r="F18" s="12" t="n">
        <x:f>SUMIFS(RECEIPTS!$D$6:$D$20,RECEIPTS!$B$6:$B$20,A18,RECEIPTS!$C$6:$C$20,"&lt;="&amp;READ_ME!$B$6)</x:f>
        <x:v>4800</x:v>
      </x:c>
      <x:c r="G18" s="12" t="n">
        <x:f>SUMIFS(CREDIT_NOTES!$D$6:$D$6,CREDIT_NOTES!$B$6:$B$6,A18,CREDIT_NOTES!$C$6:$C$6,"&lt;="&amp;READ_ME!$B$6)</x:f>
        <x:v>0</x:v>
      </x:c>
      <x:c r="H18" s="12" t="n">
        <x:f>ROUND(E18-F18-G18,2)</x:f>
        <x:v>3400</x:v>
      </x:c>
      <x:c r="I18" t="n">
        <x:f>IF(H18&lt;=0,0,MAX(0,READ_ME!$B$6-D18))</x:f>
        <x:v>0</x:v>
      </x:c>
      <x:c r="J18" t="str">
        <x:f>IF(H18&lt;0,"OVERPAID",IF(H18=0,"CLOSED",IF(I18=0,"CURRENT",IF(I18&lt;=30,"1-30",IF(I18&lt;=60,"31-60","61+")))))</x:f>
        <x:v>CURRENT</x:v>
      </x:c>
      <x:c r="K18" t="str">
        <x:f>IF(H18&lt;0,"INVESTIGATE OVERPAYMENT","OK")</x:f>
        <x:v>OK</x:v>
      </x:c>
    </x:row>
    <x:row r="19">
      <x:c r="A19" t="str">
        <x:f>INVOICES!A19</x:f>
        <x:v>INV-2605-206</x:v>
      </x:c>
      <x:c r="B19" t="str">
        <x:f>INVOICES!B19</x:f>
        <x:v>Harbor Services</x:v>
      </x:c>
      <x:c r="C19" s="10" t="n">
        <x:f>INVOICES!C19</x:f>
        <x:v>46154</x:v>
      </x:c>
      <x:c r="D19" s="10" t="n">
        <x:f>INVOICES!D19</x:f>
        <x:v>46184</x:v>
      </x:c>
      <x:c r="E19" s="12" t="n">
        <x:f>INVOICES!E19</x:f>
        <x:v>4550</x:v>
      </x:c>
      <x:c r="F19" s="12" t="n">
        <x:f>SUMIFS(RECEIPTS!$D$6:$D$20,RECEIPTS!$B$6:$B$20,A19,RECEIPTS!$C$6:$C$20,"&lt;="&amp;READ_ME!$B$6)</x:f>
        <x:v>2000</x:v>
      </x:c>
      <x:c r="G19" s="12" t="n">
        <x:f>SUMIFS(CREDIT_NOTES!$D$6:$D$6,CREDIT_NOTES!$B$6:$B$6,A19,CREDIT_NOTES!$C$6:$C$6,"&lt;="&amp;READ_ME!$B$6)</x:f>
        <x:v>0</x:v>
      </x:c>
      <x:c r="H19" s="12" t="n">
        <x:f>ROUND(E19-F19-G19,2)</x:f>
        <x:v>2550</x:v>
      </x:c>
      <x:c r="I19" t="n">
        <x:f>IF(H19&lt;=0,0,MAX(0,READ_ME!$B$6-D19))</x:f>
        <x:v>0</x:v>
      </x:c>
      <x:c r="J19" t="str">
        <x:f>IF(H19&lt;0,"OVERPAID",IF(H19=0,"CLOSED",IF(I19=0,"CURRENT",IF(I19&lt;=30,"1-30",IF(I19&lt;=60,"31-60","61+")))))</x:f>
        <x:v>CURRENT</x:v>
      </x:c>
      <x:c r="K19" t="str">
        <x:f>IF(H19&lt;0,"INVESTIGATE OVERPAYMENT","OK")</x:f>
        <x:v>OK</x:v>
      </x:c>
    </x:row>
    <x:row r="20">
      <x:c r="A20" t="str">
        <x:f>INVOICES!A20</x:f>
        <x:v>INV-2605-207</x:v>
      </x:c>
      <x:c r="B20" t="str">
        <x:f>INVOICES!B20</x:f>
        <x:v>Cedar Logistics</x:v>
      </x:c>
      <x:c r="C20" s="10" t="n">
        <x:f>INVOICES!C20</x:f>
        <x:v>46156</x:v>
      </x:c>
      <x:c r="D20" s="10" t="n">
        <x:f>INVOICES!D20</x:f>
        <x:v>46186</x:v>
      </x:c>
      <x:c r="E20" s="12" t="n">
        <x:f>INVOICES!E20</x:f>
        <x:v>5100</x:v>
      </x:c>
      <x:c r="F20" s="12" t="n">
        <x:f>SUMIFS(RECEIPTS!$D$6:$D$20,RECEIPTS!$B$6:$B$20,A20,RECEIPTS!$C$6:$C$20,"&lt;="&amp;READ_ME!$B$6)</x:f>
        <x:v>4550</x:v>
      </x:c>
      <x:c r="G20" s="12" t="n">
        <x:f>SUMIFS(CREDIT_NOTES!$D$6:$D$6,CREDIT_NOTES!$B$6:$B$6,A20,CREDIT_NOTES!$C$6:$C$6,"&lt;="&amp;READ_ME!$B$6)</x:f>
        <x:v>0</x:v>
      </x:c>
      <x:c r="H20" s="12" t="n">
        <x:f>ROUND(E20-F20-G20,2)</x:f>
        <x:v>550</x:v>
      </x:c>
      <x:c r="I20" t="n">
        <x:f>IF(H20&lt;=0,0,MAX(0,READ_ME!$B$6-D20))</x:f>
        <x:v>0</x:v>
      </x:c>
      <x:c r="J20" t="str">
        <x:f>IF(H20&lt;0,"OVERPAID",IF(H20=0,"CLOSED",IF(I20=0,"CURRENT",IF(I20&lt;=30,"1-30",IF(I20&lt;=60,"31-60","61+")))))</x:f>
        <x:v>CURRENT</x:v>
      </x:c>
      <x:c r="K20" t="str">
        <x:f>IF(H20&lt;0,"INVESTIGATE OVERPAYMENT","OK")</x:f>
        <x:v>OK</x:v>
      </x:c>
    </x:row>
    <x:row r="21">
      <x:c r="A21" t="str">
        <x:f>INVOICES!A21</x:f>
        <x:v>INV-2605-208</x:v>
      </x:c>
      <x:c r="B21" t="str">
        <x:f>INVOICES!B21</x:f>
        <x:v>Falcon Supply</x:v>
      </x:c>
      <x:c r="C21" s="10" t="n">
        <x:f>INVOICES!C21</x:f>
        <x:v>46158</x:v>
      </x:c>
      <x:c r="D21" s="10" t="n">
        <x:f>INVOICES!D21</x:f>
        <x:v>46188</x:v>
      </x:c>
      <x:c r="E21" s="12" t="n">
        <x:f>INVOICES!E21</x:f>
        <x:v>6700</x:v>
      </x:c>
      <x:c r="F21" s="12" t="n">
        <x:f>SUMIFS(RECEIPTS!$D$6:$D$20,RECEIPTS!$B$6:$B$20,A21,RECEIPTS!$C$6:$C$20,"&lt;="&amp;READ_ME!$B$6)</x:f>
        <x:v>0</x:v>
      </x:c>
      <x:c r="G21" s="12" t="n">
        <x:f>SUMIFS(CREDIT_NOTES!$D$6:$D$6,CREDIT_NOTES!$B$6:$B$6,A21,CREDIT_NOTES!$C$6:$C$6,"&lt;="&amp;READ_ME!$B$6)</x:f>
        <x:v>0</x:v>
      </x:c>
      <x:c r="H21" s="12" t="n">
        <x:f>ROUND(E21-F21-G21,2)</x:f>
        <x:v>6700</x:v>
      </x:c>
      <x:c r="I21" t="n">
        <x:f>IF(H21&lt;=0,0,MAX(0,READ_ME!$B$6-D21))</x:f>
        <x:v>0</x:v>
      </x:c>
      <x:c r="J21" t="str">
        <x:f>IF(H21&lt;0,"OVERPAID",IF(H21=0,"CLOSED",IF(I21=0,"CURRENT",IF(I21&lt;=30,"1-30",IF(I21&lt;=60,"31-60","61+")))))</x:f>
        <x:v>CURRENT</x:v>
      </x:c>
      <x:c r="K21" t="str">
        <x:f>IF(H21&lt;0,"INVESTIGATE OVERPAYMENT","OK")</x:f>
        <x:v>OK</x:v>
      </x:c>
    </x:row>
    <x:row r="22">
      <x:c r="A22" t="str">
        <x:f>INVOICES!A22</x:f>
        <x:v>INV-2605-209</x:v>
      </x:c>
      <x:c r="B22" t="str">
        <x:f>INVOICES!B22</x:f>
        <x:v>Aster Retail</x:v>
      </x:c>
      <x:c r="C22" s="10" t="n">
        <x:f>INVOICES!C22</x:f>
        <x:v>46160</x:v>
      </x:c>
      <x:c r="D22" s="10" t="n">
        <x:f>INVOICES!D22</x:f>
        <x:v>46190</x:v>
      </x:c>
      <x:c r="E22" s="12" t="n">
        <x:f>INVOICES!E22</x:f>
        <x:v>5900</x:v>
      </x:c>
      <x:c r="F22" s="12" t="n">
        <x:f>SUMIFS(RECEIPTS!$D$6:$D$20,RECEIPTS!$B$6:$B$20,A22,RECEIPTS!$C$6:$C$20,"&lt;="&amp;READ_ME!$B$6)</x:f>
        <x:v>0</x:v>
      </x:c>
      <x:c r="G22" s="12" t="n">
        <x:f>SUMIFS(CREDIT_NOTES!$D$6:$D$6,CREDIT_NOTES!$B$6:$B$6,A22,CREDIT_NOTES!$C$6:$C$6,"&lt;="&amp;READ_ME!$B$6)</x:f>
        <x:v>0</x:v>
      </x:c>
      <x:c r="H22" s="12" t="n">
        <x:f>ROUND(E22-F22-G22,2)</x:f>
        <x:v>5900</x:v>
      </x:c>
      <x:c r="I22" t="n">
        <x:f>IF(H22&lt;=0,0,MAX(0,READ_ME!$B$6-D22))</x:f>
        <x:v>0</x:v>
      </x:c>
      <x:c r="J22" t="str">
        <x:f>IF(H22&lt;0,"OVERPAID",IF(H22=0,"CLOSED",IF(I22=0,"CURRENT",IF(I22&lt;=30,"1-30",IF(I22&lt;=60,"31-60","61+")))))</x:f>
        <x:v>CURRENT</x:v>
      </x:c>
      <x:c r="K22" t="str">
        <x:f>IF(H22&lt;0,"INVESTIGATE OVERPAYMENT","OK")</x:f>
        <x:v>OK</x:v>
      </x:c>
    </x:row>
    <x:row r="23">
      <x:c r="A23" t="str">
        <x:f>INVOICES!A23</x:f>
        <x:v>INV-2605-210</x:v>
      </x:c>
      <x:c r="B23" t="str">
        <x:f>INVOICES!B23</x:f>
        <x:v>Dune Media</x:v>
      </x:c>
      <x:c r="C23" s="10" t="n">
        <x:f>INVOICES!C23</x:f>
        <x:v>46162</x:v>
      </x:c>
      <x:c r="D23" s="10" t="n">
        <x:f>INVOICES!D23</x:f>
        <x:v>46192</x:v>
      </x:c>
      <x:c r="E23" s="12" t="n">
        <x:f>INVOICES!E23</x:f>
        <x:v>7350</x:v>
      </x:c>
      <x:c r="F23" s="12" t="n">
        <x:f>SUMIFS(RECEIPTS!$D$6:$D$20,RECEIPTS!$B$6:$B$20,A23,RECEIPTS!$C$6:$C$20,"&lt;="&amp;READ_ME!$B$6)</x:f>
        <x:v>0</x:v>
      </x:c>
      <x:c r="G23" s="12" t="n">
        <x:f>SUMIFS(CREDIT_NOTES!$D$6:$D$6,CREDIT_NOTES!$B$6:$B$6,A23,CREDIT_NOTES!$C$6:$C$6,"&lt;="&amp;READ_ME!$B$6)</x:f>
        <x:v>0</x:v>
      </x:c>
      <x:c r="H23" s="12" t="n">
        <x:f>ROUND(E23-F23-G23,2)</x:f>
        <x:v>7350</x:v>
      </x:c>
      <x:c r="I23" t="n">
        <x:f>IF(H23&lt;=0,0,MAX(0,READ_ME!$B$6-D23))</x:f>
        <x:v>0</x:v>
      </x:c>
      <x:c r="J23" t="str">
        <x:f>IF(H23&lt;0,"OVERPAID",IF(H23=0,"CLOSED",IF(I23=0,"CURRENT",IF(I23&lt;=30,"1-30",IF(I23&lt;=60,"31-60","61+")))))</x:f>
        <x:v>CURRENT</x:v>
      </x:c>
      <x:c r="K23" t="str">
        <x:f>IF(H23&lt;0,"INVESTIGATE OVERPAYMENT","OK")</x:f>
        <x:v>OK</x:v>
      </x:c>
    </x:row>
    <x:row r="24">
      <x:c r="A24" t="str">
        <x:f>INVOICES!A24</x:f>
        <x:v>INV-2605-211</x:v>
      </x:c>
      <x:c r="B24" t="str">
        <x:f>INVOICES!B24</x:f>
        <x:v>Garnet Works</x:v>
      </x:c>
      <x:c r="C24" s="10" t="n">
        <x:f>INVOICES!C24</x:f>
        <x:v>46164</x:v>
      </x:c>
      <x:c r="D24" s="10" t="n">
        <x:f>INVOICES!D24</x:f>
        <x:v>46194</x:v>
      </x:c>
      <x:c r="E24" s="12" t="n">
        <x:f>INVOICES!E24</x:f>
        <x:v>4800</x:v>
      </x:c>
      <x:c r="F24" s="12" t="n">
        <x:f>SUMIFS(RECEIPTS!$D$6:$D$20,RECEIPTS!$B$6:$B$20,A24,RECEIPTS!$C$6:$C$20,"&lt;="&amp;READ_ME!$B$6)</x:f>
        <x:v>0</x:v>
      </x:c>
      <x:c r="G24" s="12" t="n">
        <x:f>SUMIFS(CREDIT_NOTES!$D$6:$D$6,CREDIT_NOTES!$B$6:$B$6,A24,CREDIT_NOTES!$C$6:$C$6,"&lt;="&amp;READ_ME!$B$6)</x:f>
        <x:v>0</x:v>
      </x:c>
      <x:c r="H24" s="12" t="n">
        <x:f>ROUND(E24-F24-G24,2)</x:f>
        <x:v>4800</x:v>
      </x:c>
      <x:c r="I24" t="n">
        <x:f>IF(H24&lt;=0,0,MAX(0,READ_ME!$B$6-D24))</x:f>
        <x:v>0</x:v>
      </x:c>
      <x:c r="J24" t="str">
        <x:f>IF(H24&lt;0,"OVERPAID",IF(H24=0,"CLOSED",IF(I24=0,"CURRENT",IF(I24&lt;=30,"1-30",IF(I24&lt;=60,"31-60","61+")))))</x:f>
        <x:v>CURRENT</x:v>
      </x:c>
      <x:c r="K24" t="str">
        <x:f>IF(H24&lt;0,"INVESTIGATE OVERPAYMENT","OK")</x:f>
        <x:v>OK</x:v>
      </x:c>
    </x:row>
    <x:row r="25">
      <x:c r="A25" t="str">
        <x:f>INVOICES!A25</x:f>
        <x:v>INV-2605-212</x:v>
      </x:c>
      <x:c r="B25" t="str">
        <x:f>INVOICES!B25</x:f>
        <x:v>Beacon Foods</x:v>
      </x:c>
      <x:c r="C25" s="10" t="n">
        <x:f>INVOICES!C25</x:f>
        <x:v>46166</x:v>
      </x:c>
      <x:c r="D25" s="10" t="n">
        <x:f>INVOICES!D25</x:f>
        <x:v>46196</x:v>
      </x:c>
      <x:c r="E25" s="12" t="n">
        <x:f>INVOICES!E25</x:f>
        <x:v>6200</x:v>
      </x:c>
      <x:c r="F25" s="12" t="n">
        <x:f>SUMIFS(RECEIPTS!$D$6:$D$20,RECEIPTS!$B$6:$B$20,A25,RECEIPTS!$C$6:$C$20,"&lt;="&amp;READ_ME!$B$6)</x:f>
        <x:v>0</x:v>
      </x:c>
      <x:c r="G25" s="12" t="n">
        <x:f>SUMIFS(CREDIT_NOTES!$D$6:$D$6,CREDIT_NOTES!$B$6:$B$6,A25,CREDIT_NOTES!$C$6:$C$6,"&lt;="&amp;READ_ME!$B$6)</x:f>
        <x:v>0</x:v>
      </x:c>
      <x:c r="H25" s="12" t="n">
        <x:f>ROUND(E25-F25-G25,2)</x:f>
        <x:v>6200</x:v>
      </x:c>
      <x:c r="I25" t="n">
        <x:f>IF(H25&lt;=0,0,MAX(0,READ_ME!$B$6-D25))</x:f>
        <x:v>0</x:v>
      </x:c>
      <x:c r="J25" t="str">
        <x:f>IF(H25&lt;0,"OVERPAID",IF(H25=0,"CLOSED",IF(I25=0,"CURRENT",IF(I25&lt;=30,"1-30",IF(I25&lt;=60,"31-60","61+")))))</x:f>
        <x:v>CURRENT</x:v>
      </x:c>
      <x:c r="K25" t="str">
        <x:f>IF(H25&lt;0,"INVESTIGATE OVERPAYMENT","OK")</x:f>
        <x:v>OK</x:v>
      </x:c>
    </x:row>
    <x:row r="31">
      <x:c r="A31" s="28" t="str">
        <x:v>A/R CONTROL SUMMARY</x:v>
      </x:c>
      <x:c r="B31" s="28"/>
      <x:c r="C31" s="28"/>
      <x:c r="D31" s="28"/>
      <x:c r="E31" s="28"/>
    </x:row>
    <x:row r="33">
      <x:c r="A33" t="str">
        <x:v>Opening A/R</x:v>
      </x:c>
      <x:c r="B33" s="12" t="n">
        <x:f>READ_ME!B8</x:f>
        <x:v>25500</x:v>
      </x:c>
    </x:row>
    <x:row r="34">
      <x:c r="A34" t="str">
        <x:v>May invoice debit postings</x:v>
      </x:c>
      <x:c r="B34" s="12" t="n">
        <x:f>SUMIFS(GL_EXPORT!$G$6:$G$91,GL_EXPORT!$D$6:$D$91,1100,GL_EXPORT!$I$6:$I$91,"POSTED")</x:f>
        <x:v>72100</x:v>
      </x:c>
    </x:row>
    <x:row r="35">
      <x:c r="A35" t="str">
        <x:v>May receipts applied</x:v>
      </x:c>
      <x:c r="B35" s="12" t="n">
        <x:f>SUMIFS(GL_EXPORT!$H$6:$H$91,GL_EXPORT!$D$6:$D$91,1100,GL_EXPORT!$I$6:$I$91,"POSTED")-B36</x:f>
        <x:v>49050</x:v>
      </x:c>
    </x:row>
    <x:row r="36">
      <x:c r="A36" t="str">
        <x:v>May credit notes</x:v>
      </x:c>
      <x:c r="B36" s="12" t="n">
        <x:f>SUM(CREDIT_NOTES!$D$6:$D$6)</x:f>
        <x:v>180</x:v>
      </x:c>
    </x:row>
    <x:row r="37">
      <x:c r="A37" s="38" t="str">
        <x:v>Closing A/R from GL bridge</x:v>
      </x:c>
      <x:c r="B37" s="40" t="n">
        <x:f>B33+B34-B35-B36</x:f>
        <x:v>48370</x:v>
      </x:c>
    </x:row>
    <x:row r="38">
      <x:c r="A38" s="38" t="str">
        <x:v>Closing A/R from aging</x:v>
      </x:c>
      <x:c r="B38" s="40" t="n">
        <x:f>SUM(H6:H25)</x:f>
        <x:v>48370</x:v>
      </x:c>
    </x:row>
    <x:row r="39">
      <x:c r="A39" s="38" t="str">
        <x:v>A/R reconciliation difference</x:v>
      </x:c>
      <x:c r="B39" s="40" t="n">
        <x:f>ROUND(B37-B38,2)</x:f>
        <x:v>0</x:v>
      </x:c>
    </x:row>
    <x:row r="40">
      <x:c r="B40" s="12"/>
    </x:row>
    <x:row r="41">
      <x:c r="A41" t="str">
        <x:v>CURRENT</x:v>
      </x:c>
      <x:c r="B41" s="12" t="n">
        <x:f>SUMIF(J6:J25,"CURRENT",H6:H25)</x:f>
        <x:v>40900</x:v>
      </x:c>
    </x:row>
    <x:row r="42">
      <x:c r="A42" t="str">
        <x:v>1-30</x:v>
      </x:c>
      <x:c r="B42" s="12" t="n">
        <x:f>SUMIF(J6:J25,"1-30",H6:H25)</x:f>
        <x:v>7470</x:v>
      </x:c>
    </x:row>
    <x:row r="43">
      <x:c r="A43" t="str">
        <x:v>31-60</x:v>
      </x:c>
      <x:c r="B43" s="12" t="n">
        <x:f>SUMIF(J6:J25,"31-60",H6:H25)</x:f>
        <x:v>0</x:v>
      </x:c>
    </x:row>
    <x:row r="44">
      <x:c r="A44" t="str">
        <x:v>61+</x:v>
      </x:c>
      <x:c r="B44" s="12" t="n">
        <x:f>SUMIF(J6:J25,"61+",H6:H25)</x:f>
        <x:v>0</x:v>
      </x:c>
    </x:row>
    <x:row r="45">
      <x:c r="A45" s="38" t="str">
        <x:v>Open invoice aging total</x:v>
      </x:c>
      <x:c r="B45" s="40" t="n">
        <x:f>SUM(B41:B44)</x:f>
        <x:v>48370</x:v>
      </x:c>
    </x:row>
    <x:row r="46">
      <x:c r="A46" t="str">
        <x:v>Open exceptions</x:v>
      </x:c>
      <x:c r="B46" s="12" t="n">
        <x:f>COUNTIF(K6:K25,"INVESTIGATE OVERPAYMENT")</x:f>
        <x:v>0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19" hidden="0" customWidth="1"/>
    <x:col min="4" max="4" width="19" hidden="0" customWidth="1"/>
    <x:col min="5" max="5" width="21" hidden="0" customWidth="1"/>
    <x:col min="6" max="6" width="18" hidden="0" customWidth="1"/>
    <x:col min="7" max="7" width="20" hidden="0" customWidth="1"/>
    <x:col min="8" max="8" width="35" hidden="0" customWidth="1"/>
  </x:cols>
  <x:sheetData>
    <x:row r="1" ht="32" customHeight="1">
      <x:c r="A1" s="8" t="str">
        <x:v>WORKPAPER D  •  ACTUAL VS BUDGET</x:v>
      </x:c>
      <x:c r="B1" s="8"/>
      <x:c r="C1" s="8"/>
      <x:c r="D1" s="8"/>
      <x:c r="E1" s="8"/>
      <x:c r="F1" s="8"/>
      <x:c r="G1" s="8"/>
      <x:c r="H1" s="8"/>
    </x:row>
    <x:row r="2">
      <x:c r="A2" s="8"/>
      <x:c r="B2" s="8"/>
      <x:c r="C2" s="8"/>
      <x:c r="D2" s="8"/>
      <x:c r="E2" s="8"/>
      <x:c r="F2" s="8"/>
      <x:c r="G2" s="8"/>
      <x:c r="H2" s="8"/>
    </x:row>
    <x:row r="5" ht="29" customHeight="1">
      <x:c r="A5" s="24" t="str">
        <x:v>Account</x:v>
      </x:c>
      <x:c r="B5" s="24" t="str">
        <x:v>Management line</x:v>
      </x:c>
      <x:c r="C5" s="24" t="str">
        <x:v>Budget (USD)</x:v>
      </x:c>
      <x:c r="D5" s="24" t="str">
        <x:v>Actual (USD)</x:v>
      </x:c>
      <x:c r="E5" s="24" t="str">
        <x:v>Favourable variance</x:v>
      </x:c>
      <x:c r="F5" s="24" t="str">
        <x:v>Variance %</x:v>
      </x:c>
      <x:c r="G5" s="24" t="str">
        <x:v>Direction</x:v>
      </x:c>
      <x:c r="H5" s="24" t="str">
        <x:v>Review note</x:v>
      </x:c>
    </x:row>
    <x:row r="6">
      <x:c r="A6" t="n">
        <x:f>BUDGET!A6</x:f>
        <x:v>4000</x:v>
      </x:c>
      <x:c r="B6" t="str">
        <x:f>BUDGET!B6</x:f>
        <x:v>Revenue</x:v>
      </x:c>
      <x:c r="C6" s="12" t="n">
        <x:f>BUDGET!C6</x:f>
        <x:v>73000</x:v>
      </x:c>
      <x:c r="D6" s="12" t="n">
        <x:f>SUMIFS(GL_EXPORT!$H$6:$H$91,GL_EXPORT!$D$6:$D$91,A6,GL_EXPORT!$I$6:$I$91,"POSTED")-(SUMIFS(GL_EXPORT!$G$6:$G$91,GL_EXPORT!$D$6:$D$91,A6,GL_EXPORT!$I$6:$I$91,"POSTED"))</x:f>
        <x:v>71920</x:v>
      </x:c>
      <x:c r="E6" s="12" t="n">
        <x:f>IF(BUDGET!D6="Income",D6-C6,C6-D6)</x:f>
        <x:v>-1080</x:v>
      </x:c>
      <x:c r="F6" s="44" t="n">
        <x:f>IFERROR(E6/ABS(C6),0)</x:f>
        <x:v>-0.014794520547945205</x:v>
      </x:c>
      <x:c r="G6" t="str">
        <x:f>IF(E6&lt;0,"UNFAVOURABLE",IF(E6&gt;0,"FAVOURABLE","ON BUDGET"))</x:f>
        <x:v>UNFAVOURABLE</x:v>
      </x:c>
    </x:row>
    <x:row r="7">
      <x:c r="A7" t="n">
        <x:f>BUDGET!A7</x:f>
        <x:v>5000</x:v>
      </x:c>
      <x:c r="B7" t="str">
        <x:f>BUDGET!B7</x:f>
        <x:v>Delivery cost</x:v>
      </x:c>
      <x:c r="C7" s="12" t="n">
        <x:f>BUDGET!C7</x:f>
        <x:v>11500</x:v>
      </x:c>
      <x:c r="D7" s="12" t="n">
        <x:f>SUMIFS(GL_EXPORT!$G$6:$G$91,GL_EXPORT!$D$6:$D$91,A7,GL_EXPORT!$I$6:$I$91,"POSTED")-(SUMIFS(GL_EXPORT!$H$6:$H$91,GL_EXPORT!$D$6:$D$91,A7,GL_EXPORT!$I$6:$I$91,"POSTED"))</x:f>
        <x:v>10550</x:v>
      </x:c>
      <x:c r="E7" s="12" t="n">
        <x:f>IF(BUDGET!D7="Income",D7-C7,C7-D7)</x:f>
        <x:v>950</x:v>
      </x:c>
      <x:c r="F7" s="44" t="n">
        <x:f>IFERROR(E7/ABS(C7),0)</x:f>
        <x:v>0.08260869565217391</x:v>
      </x:c>
      <x:c r="G7" t="str">
        <x:f>IF(E7&lt;0,"UNFAVOURABLE",IF(E7&gt;0,"FAVOURABLE","ON BUDGET"))</x:f>
        <x:v>FAVOURABLE</x:v>
      </x:c>
    </x:row>
    <x:row r="8">
      <x:c r="A8" t="n">
        <x:f>BUDGET!A8</x:f>
        <x:v>6100</x:v>
      </x:c>
      <x:c r="B8" t="str">
        <x:f>BUDGET!B8</x:f>
        <x:v>Payroll</x:v>
      </x:c>
      <x:c r="C8" s="12" t="n">
        <x:f>BUDGET!C8</x:f>
        <x:v>17300</x:v>
      </x:c>
      <x:c r="D8" s="12" t="n">
        <x:f>SUMIFS(GL_EXPORT!$G$6:$G$91,GL_EXPORT!$D$6:$D$91,A8,GL_EXPORT!$I$6:$I$91,"POSTED")-(SUMIFS(GL_EXPORT!$H$6:$H$91,GL_EXPORT!$D$6:$D$91,A8,GL_EXPORT!$I$6:$I$91,"POSTED"))</x:f>
        <x:v>16300</x:v>
      </x:c>
      <x:c r="E8" s="12" t="n">
        <x:f>IF(BUDGET!D8="Income",D8-C8,C8-D8)</x:f>
        <x:v>1000</x:v>
      </x:c>
      <x:c r="F8" s="44" t="n">
        <x:f>IFERROR(E8/ABS(C8),0)</x:f>
        <x:v>0.057803468208092484</x:v>
      </x:c>
      <x:c r="G8" t="str">
        <x:f>IF(E8&lt;0,"UNFAVOURABLE",IF(E8&gt;0,"FAVOURABLE","ON BUDGET"))</x:f>
        <x:v>FAVOURABLE</x:v>
      </x:c>
    </x:row>
    <x:row r="9">
      <x:c r="A9" t="n">
        <x:f>BUDGET!A9</x:f>
        <x:v>6200</x:v>
      </x:c>
      <x:c r="B9" t="str">
        <x:f>BUDGET!B9</x:f>
        <x:v>Rent</x:v>
      </x:c>
      <x:c r="C9" s="12" t="n">
        <x:f>BUDGET!C9</x:f>
        <x:v>3900</x:v>
      </x:c>
      <x:c r="D9" s="12" t="n">
        <x:f>SUMIFS(GL_EXPORT!$G$6:$G$91,GL_EXPORT!$D$6:$D$91,A9,GL_EXPORT!$I$6:$I$91,"POSTED")-(SUMIFS(GL_EXPORT!$H$6:$H$91,GL_EXPORT!$D$6:$D$91,A9,GL_EXPORT!$I$6:$I$91,"POSTED"))</x:f>
        <x:v>3600</x:v>
      </x:c>
      <x:c r="E9" s="12" t="n">
        <x:f>IF(BUDGET!D9="Income",D9-C9,C9-D9)</x:f>
        <x:v>300</x:v>
      </x:c>
      <x:c r="F9" s="44" t="n">
        <x:f>IFERROR(E9/ABS(C9),0)</x:f>
        <x:v>0.07692307692307693</x:v>
      </x:c>
      <x:c r="G9" t="str">
        <x:f>IF(E9&lt;0,"UNFAVOURABLE",IF(E9&gt;0,"FAVOURABLE","ON BUDGET"))</x:f>
        <x:v>FAVOURABLE</x:v>
      </x:c>
    </x:row>
    <x:row r="10">
      <x:c r="A10" t="n">
        <x:f>BUDGET!A10</x:f>
        <x:v>6300</x:v>
      </x:c>
      <x:c r="B10" t="str">
        <x:f>BUDGET!B10</x:f>
        <x:v>Marketing</x:v>
      </x:c>
      <x:c r="C10" s="12" t="n">
        <x:f>BUDGET!C10</x:f>
        <x:v>3600</x:v>
      </x:c>
      <x:c r="D10" s="12" t="n">
        <x:f>SUMIFS(GL_EXPORT!$G$6:$G$91,GL_EXPORT!$D$6:$D$91,A10,GL_EXPORT!$I$6:$I$91,"POSTED")-(SUMIFS(GL_EXPORT!$H$6:$H$91,GL_EXPORT!$D$6:$D$91,A10,GL_EXPORT!$I$6:$I$91,"POSTED"))</x:f>
        <x:v>3460</x:v>
      </x:c>
      <x:c r="E10" s="12" t="n">
        <x:f>IF(BUDGET!D10="Income",D10-C10,C10-D10)</x:f>
        <x:v>140</x:v>
      </x:c>
      <x:c r="F10" s="44" t="n">
        <x:f>IFERROR(E10/ABS(C10),0)</x:f>
        <x:v>0.03888888888888889</x:v>
      </x:c>
      <x:c r="G10" t="str">
        <x:f>IF(E10&lt;0,"UNFAVOURABLE",IF(E10&gt;0,"FAVOURABLE","ON BUDGET"))</x:f>
        <x:v>FAVOURABLE</x:v>
      </x:c>
    </x:row>
    <x:row r="11">
      <x:c r="A11" t="n">
        <x:f>BUDGET!A11</x:f>
        <x:v>6400</x:v>
      </x:c>
      <x:c r="B11" t="str">
        <x:f>BUDGET!B11</x:f>
        <x:v>Software</x:v>
      </x:c>
      <x:c r="C11" s="12" t="n">
        <x:f>BUDGET!C11</x:f>
        <x:v>2200</x:v>
      </x:c>
      <x:c r="D11" s="12" t="n">
        <x:f>SUMIFS(GL_EXPORT!$G$6:$G$91,GL_EXPORT!$D$6:$D$91,A11,GL_EXPORT!$I$6:$I$91,"POSTED")-(SUMIFS(GL_EXPORT!$H$6:$H$91,GL_EXPORT!$D$6:$D$91,A11,GL_EXPORT!$I$6:$I$91,"POSTED"))</x:f>
        <x:v>2000</x:v>
      </x:c>
      <x:c r="E11" s="12" t="n">
        <x:f>IF(BUDGET!D11="Income",D11-C11,C11-D11)</x:f>
        <x:v>200</x:v>
      </x:c>
      <x:c r="F11" s="44" t="n">
        <x:f>IFERROR(E11/ABS(C11),0)</x:f>
        <x:v>0.09090909090909091</x:v>
      </x:c>
      <x:c r="G11" t="str">
        <x:f>IF(E11&lt;0,"UNFAVOURABLE",IF(E11&gt;0,"FAVOURABLE","ON BUDGET"))</x:f>
        <x:v>FAVOURABLE</x:v>
      </x:c>
    </x:row>
    <x:row r="12">
      <x:c r="A12" t="n">
        <x:f>BUDGET!A12</x:f>
        <x:v>6500</x:v>
      </x:c>
      <x:c r="B12" t="str">
        <x:f>BUDGET!B12</x:f>
        <x:v>Utilities</x:v>
      </x:c>
      <x:c r="C12" s="12" t="n">
        <x:f>BUDGET!C12</x:f>
        <x:v>1300</x:v>
      </x:c>
      <x:c r="D12" s="12" t="n">
        <x:f>SUMIFS(GL_EXPORT!$G$6:$G$91,GL_EXPORT!$D$6:$D$91,A12,GL_EXPORT!$I$6:$I$91,"POSTED")-(SUMIFS(GL_EXPORT!$H$6:$H$91,GL_EXPORT!$D$6:$D$91,A12,GL_EXPORT!$I$6:$I$91,"POSTED"))</x:f>
        <x:v>1080</x:v>
      </x:c>
      <x:c r="E12" s="12" t="n">
        <x:f>IF(BUDGET!D12="Income",D12-C12,C12-D12)</x:f>
        <x:v>220</x:v>
      </x:c>
      <x:c r="F12" s="44" t="n">
        <x:f>IFERROR(E12/ABS(C12),0)</x:f>
        <x:v>0.16923076923076924</x:v>
      </x:c>
      <x:c r="G12" t="str">
        <x:f>IF(E12&lt;0,"UNFAVOURABLE",IF(E12&gt;0,"FAVOURABLE","ON BUDGET"))</x:f>
        <x:v>FAVOURABLE</x:v>
      </x:c>
    </x:row>
    <x:row r="13">
      <x:c r="A13" t="n">
        <x:f>BUDGET!A13</x:f>
        <x:v>6600</x:v>
      </x:c>
      <x:c r="B13" t="str">
        <x:f>BUDGET!B13</x:f>
        <x:v>Bank fees</x:v>
      </x:c>
      <x:c r="C13" s="12" t="n">
        <x:f>BUDGET!C13</x:f>
        <x:v>50</x:v>
      </x:c>
      <x:c r="D13" s="12" t="n">
        <x:f>SUMIFS(GL_EXPORT!$G$6:$G$91,GL_EXPORT!$D$6:$D$91,A13,GL_EXPORT!$I$6:$I$91,"POSTED")-(SUMIFS(GL_EXPORT!$H$6:$H$91,GL_EXPORT!$D$6:$D$91,A13,GL_EXPORT!$I$6:$I$91,"POSTED"))-BANK_RECON!B14</x:f>
        <x:v>55</x:v>
      </x:c>
      <x:c r="E13" s="12" t="n">
        <x:f>IF(BUDGET!D13="Income",D13-C13,C13-D13)</x:f>
        <x:v>-5</x:v>
      </x:c>
      <x:c r="F13" s="44" t="n">
        <x:f>IFERROR(E13/ABS(C13),0)</x:f>
        <x:v>-0.1</x:v>
      </x:c>
      <x:c r="G13" t="str">
        <x:f>IF(E13&lt;0,"UNFAVOURABLE",IF(E13&gt;0,"FAVOURABLE","ON BUDGET"))</x:f>
        <x:v>UNFAVOURABLE</x:v>
      </x:c>
    </x:row>
    <x:row r="14">
      <x:c r="A14" t="n">
        <x:f>BUDGET!A14</x:f>
        <x:v>7100</x:v>
      </x:c>
      <x:c r="B14" t="str">
        <x:f>BUDGET!B14</x:f>
        <x:v>Interest income</x:v>
      </x:c>
      <x:c r="C14" s="12" t="n">
        <x:f>BUDGET!C14</x:f>
        <x:v>10</x:v>
      </x:c>
      <x:c r="D14" s="12" t="n">
        <x:f>SUMIFS(GL_EXPORT!$H$6:$H$91,GL_EXPORT!$D$6:$D$91,A14,GL_EXPORT!$I$6:$I$91,"POSTED")-(SUMIFS(GL_EXPORT!$G$6:$G$91,GL_EXPORT!$D$6:$D$91,A14,GL_EXPORT!$I$6:$I$91,"POSTED"))+BANK_RECON!B15</x:f>
        <x:v>15</x:v>
      </x:c>
      <x:c r="E14" s="12" t="n">
        <x:f>IF(BUDGET!D14="Income",D14-C14,C14-D14)</x:f>
        <x:v>5</x:v>
      </x:c>
      <x:c r="F14" s="44" t="n">
        <x:f>IFERROR(E14/ABS(C14),0)</x:f>
        <x:v>0.5</x:v>
      </x:c>
      <x:c r="G14" t="str">
        <x:f>IF(E14&lt;0,"UNFAVOURABLE",IF(E14&gt;0,"FAVOURABLE","ON BUDGET"))</x:f>
        <x:v>FAVOURABLE</x:v>
      </x:c>
    </x:row>
    <x:row r="17">
      <x:c r="A17" t="str">
        <x:v>OPERATING CONTRIBUTION</x:v>
      </x:c>
    </x:row>
    <x:row r="18">
      <x:c r="B18" s="36" t="str">
        <x:v>Budgeted contribution</x:v>
      </x:c>
      <x:c r="C18" s="42" t="n">
        <x:f>SUMIF(BUDGET!$D$6:$D$14,"Income",BUDGET!$C$6:$C$14)-SUMIF(BUDGET!$D$6:$D$14,"Expense",BUDGET!$C$6:$C$14)</x:f>
        <x:v>33160</x:v>
      </x:c>
      <x:c r="D18" s="42"/>
      <x:c r="E18" s="42"/>
    </x:row>
    <x:row r="19">
      <x:c r="B19" s="36" t="str">
        <x:v>Actual contribution</x:v>
      </x:c>
      <x:c r="C19" s="42"/>
      <x:c r="D19" s="42" t="n">
        <x:f>SUMIF(BUDGET!$D$6:$D$14,"Income",D6:D14)-SUMIF(BUDGET!$D$6:$D$14,"Expense",D6:D14)</x:f>
        <x:v>34890</x:v>
      </x:c>
      <x:c r="E19" s="42"/>
    </x:row>
    <x:row r="20">
      <x:c r="B20" s="36" t="str">
        <x:v>Favourable variance</x:v>
      </x:c>
      <x:c r="C20" s="42"/>
      <x:c r="D20" s="42"/>
      <x:c r="E20" s="42" t="n">
        <x:f>D19-C18</x:f>
        <x:v>1730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24" hidden="0" customWidth="1"/>
    <x:col min="3" max="3" width="5" hidden="0" customWidth="1"/>
    <x:col min="4" max="4" width="30" hidden="0" customWidth="1"/>
    <x:col min="5" max="5" width="23" hidden="0" customWidth="1"/>
    <x:col min="6" max="6" width="5" hidden="0" customWidth="1"/>
    <x:col min="7" max="7" width="32" hidden="0" customWidth="1"/>
    <x:col min="8" max="8" width="22" hidden="0" customWidth="1"/>
  </x:cols>
  <x:sheetData>
    <x:row r="1" ht="32" customHeight="1">
      <x:c r="A1" s="8" t="str">
        <x:v>MANAGEMENT REPORT  •  MAY 2026 CLOSE</x:v>
      </x:c>
      <x:c r="B1" s="8"/>
      <x:c r="C1" s="8"/>
      <x:c r="D1" s="8"/>
      <x:c r="E1" s="8"/>
      <x:c r="F1" s="8"/>
      <x:c r="G1" s="8"/>
      <x:c r="H1" s="8"/>
      <x:c r="I1" s="8"/>
      <x:c r="J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</x:row>
    <x:row r="5">
      <x:c r="A5" t="str">
        <x:v>Reconciled cash, USD</x:v>
      </x:c>
      <x:c r="B5" s="12" t="n">
        <x:f>BANK_RECON!B16</x:f>
        <x:v>47020</x:v>
      </x:c>
    </x:row>
    <x:row r="6">
      <x:c r="B6" s="12"/>
    </x:row>
    <x:row r="7">
      <x:c r="A7" t="str">
        <x:v>Net accounts receivable, USD</x:v>
      </x:c>
      <x:c r="B7" s="12" t="n">
        <x:f>AR_AGING!B38</x:f>
        <x:v>48370</x:v>
      </x:c>
    </x:row>
    <x:row r="8">
      <x:c r="B8" s="12"/>
    </x:row>
    <x:row r="9">
      <x:c r="A9" t="str">
        <x:v>Operating contribution, USD</x:v>
      </x:c>
      <x:c r="B9" s="12" t="n">
        <x:f>PNL_VARIANCE!D19</x:f>
        <x:v>34890</x:v>
      </x:c>
    </x:row>
    <x:row r="10">
      <x:c r="B10" s="12"/>
    </x:row>
    <x:row r="11">
      <x:c r="A11" t="str">
        <x:v>Variance versus budget, USD</x:v>
      </x:c>
      <x:c r="B11" s="12" t="n">
        <x:f>PNL_VARIANCE!E20</x:f>
        <x:v>1730</x:v>
      </x:c>
    </x:row>
    <x:row r="12">
      <x:c r="B12" s="12"/>
    </x:row>
    <x:row r="13">
      <x:c r="A13" t="str">
        <x:v>A/R past due, USD</x:v>
      </x:c>
      <x:c r="B13" s="12" t="n">
        <x:f>SUM(AR_AGING!B42:B44)</x:f>
        <x:v>7470</x:v>
      </x:c>
    </x:row>
    <x:row r="14">
      <x:c r="B14" s="12"/>
    </x:row>
    <x:row r="15">
      <x:c r="A15" t="str">
        <x:v>Bank difference, USD</x:v>
      </x:c>
      <x:c r="B15" s="12" t="n">
        <x:f>BANK_RECON!B18</x:f>
        <x:v>0</x:v>
      </x:c>
    </x:row>
    <x:row r="17">
      <x:c r="A17" t="str">
        <x:v>Unresolved exceptions</x:v>
      </x:c>
      <x:c r="B17" t="n">
        <x:f>CONTROLS!B18</x:f>
        <x:v>0</x:v>
      </x:c>
    </x:row>
    <x:row r="20">
      <x:c r="A20" t="str">
        <x:v>Management note – key observations</x:v>
      </x:c>
    </x:row>
    <x:row r="21">
      <x:c r="A21" t="str">
        <x:v>Revenue and operating contribution reflect posted May transactions plus documented bank fee and interest adjustments.</x:v>
      </x:c>
    </x:row>
    <x:row r="22">
      <x:c r="A22" t="str">
        <x:v>Explain the budget variance without assuming causation; request evidence from operational owners.</x:v>
      </x:c>
    </x:row>
    <x:row r="25">
      <x:c r="A25" t="str">
        <x:v>Management note – proposed follow-ups</x:v>
      </x:c>
    </x:row>
    <x:row r="26">
      <x:c r="A26" t="str">
        <x:v>Post the bank fee and interest adjustments after approval; track June clearing of three supported timing items.</x:v>
      </x:c>
    </x:row>
    <x:row r="27">
      <x:c r="A27" t="str">
        <x:v>Investigate any failed controls before distributing management reporting externally.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7" hidden="0" customWidth="1"/>
    <x:col min="2" max="2" width="22" hidden="0" customWidth="1"/>
    <x:col min="3" max="3" width="20" hidden="0" customWidth="1"/>
    <x:col min="4" max="4" width="19" hidden="0" customWidth="1"/>
    <x:col min="5" max="5" width="46" hidden="0" customWidth="1"/>
    <x:col min="6" max="6" width="20" hidden="0" customWidth="1"/>
    <x:col min="7" max="7" width="30" hidden="0" customWidth="1"/>
    <x:col min="8" max="8" width="20" hidden="0" customWidth="1"/>
  </x:cols>
  <x:sheetData>
    <x:row r="1" ht="32" customHeight="1">
      <x:c r="A1" s="8" t="str">
        <x:v>CLOSE CONTROLS  •  REVIEW BEFORE SIGN-OFF</x:v>
      </x:c>
      <x:c r="B1" s="8"/>
      <x:c r="C1" s="8"/>
      <x:c r="D1" s="8"/>
      <x:c r="E1" s="8"/>
      <x:c r="F1" s="8"/>
      <x:c r="G1" s="8"/>
      <x:c r="H1" s="8"/>
    </x:row>
    <x:row r="2">
      <x:c r="A2" s="8"/>
      <x:c r="B2" s="8"/>
      <x:c r="C2" s="8"/>
      <x:c r="D2" s="8"/>
      <x:c r="E2" s="8"/>
      <x:c r="F2" s="8"/>
      <x:c r="G2" s="8"/>
      <x:c r="H2" s="8"/>
    </x:row>
    <x:row r="5" ht="29" customHeight="1">
      <x:c r="A5" s="24" t="str">
        <x:v>Control</x:v>
      </x:c>
      <x:c r="B5" s="24" t="str">
        <x:v>Measured result</x:v>
      </x:c>
      <x:c r="C5" s="24" t="str">
        <x:v>Expected</x:v>
      </x:c>
      <x:c r="D5" s="24" t="str">
        <x:v>Decision</x:v>
      </x:c>
      <x:c r="E5" s="24" t="str">
        <x:v>Why this matters</x:v>
      </x:c>
      <x:c r="F5" s="24" t="str">
        <x:v>Owner</x:v>
      </x:c>
      <x:c r="G5" s="24" t="str">
        <x:v>Evidence</x:v>
      </x:c>
      <x:c r="H5" s="24" t="str">
        <x:v>Sign-off</x:v>
      </x:c>
    </x:row>
    <x:row r="6">
      <x:c r="A6" t="str">
        <x:v>Posted journals: debit–credit difference</x:v>
      </x:c>
      <x:c r="B6" t="n">
        <x:f>SUMIFS(GL_EXPORT!$G$6:$G$91,GL_EXPORT!$I$6:$I$91,"POSTED")-SUMIFS(GL_EXPORT!$H$6:$H$91,GL_EXPORT!$I$6:$I$91,"POSTED")</x:f>
        <x:v>0</x:v>
      </x:c>
      <x:c r="C6" t="n">
        <x:v>0</x:v>
      </x:c>
      <x:c r="D6" t="str">
        <x:f>IF(ABS(B6-C6)&lt;0.005,"PASS","REVIEW")</x:f>
        <x:v>PASS</x:v>
      </x:c>
      <x:c r="E6" t="str">
        <x:v>Every posted journal balanced</x:v>
      </x:c>
    </x:row>
    <x:row r="7">
      <x:c r="A7" t="str">
        <x:v>Bank adjusted cash difference</x:v>
      </x:c>
      <x:c r="B7" t="n">
        <x:f>BANK_RECON!B18</x:f>
        <x:v>0</x:v>
      </x:c>
      <x:c r="C7" t="n">
        <x:v>0</x:v>
      </x:c>
      <x:c r="D7" t="str">
        <x:f>IF(ABS(B7-C7)&lt;0.005,"PASS","REVIEW")</x:f>
        <x:v>PASS</x:v>
      </x:c>
      <x:c r="E7" t="str">
        <x:v>Bank and book adjusted balances agree</x:v>
      </x:c>
    </x:row>
    <x:row r="8">
      <x:c r="A8" t="str">
        <x:v>Cash items requiring investigation</x:v>
      </x:c>
      <x:c r="B8" t="n">
        <x:f>BANK_RECON!B20</x:f>
        <x:v>0</x:v>
      </x:c>
      <x:c r="C8" t="n">
        <x:v>0</x:v>
      </x:c>
      <x:c r="D8" t="str">
        <x:f>IF(ABS(B8-C8)&lt;0.005,"PASS","REVIEW")</x:f>
        <x:v>PASS</x:v>
      </x:c>
      <x:c r="E8" t="str">
        <x:v>Evidence-backed timing differences only</x:v>
      </x:c>
    </x:row>
    <x:row r="9">
      <x:c r="A9" t="str">
        <x:v>Bank items requiring investigation</x:v>
      </x:c>
      <x:c r="B9" t="n">
        <x:f>BANK_RECON!B21</x:f>
        <x:v>0</x:v>
      </x:c>
      <x:c r="C9" t="n">
        <x:v>0</x:v>
      </x:c>
      <x:c r="D9" t="str">
        <x:f>IF(ABS(B9-C9)&lt;0.005,"PASS","REVIEW")</x:f>
        <x:v>PASS</x:v>
      </x:c>
      <x:c r="E9" t="str">
        <x:v>Bank-only fee and interest documented</x:v>
      </x:c>
    </x:row>
    <x:row r="10">
      <x:c r="A10" t="str">
        <x:v>Timing items without evidence</x:v>
      </x:c>
      <x:c r="B10" t="n">
        <x:f>BANK_RECON!B22</x:f>
        <x:v>0</x:v>
      </x:c>
      <x:c r="C10" t="n">
        <x:v>0</x:v>
      </x:c>
      <x:c r="D10" t="str">
        <x:f>IF(ABS(B10-C10)&lt;0.005,"PASS","REVIEW")</x:f>
        <x:v>PASS</x:v>
      </x:c>
      <x:c r="E10" t="str">
        <x:v>Clearance supported by subsequent bank advice</x:v>
      </x:c>
    </x:row>
    <x:row r="11">
      <x:c r="A11" t="str">
        <x:v>AR ledger–subledger difference</x:v>
      </x:c>
      <x:c r="B11" t="n">
        <x:f>AR_AGING!B39</x:f>
        <x:v>0</x:v>
      </x:c>
      <x:c r="C11" t="n">
        <x:v>0</x:v>
      </x:c>
      <x:c r="D11" t="str">
        <x:f>IF(ABS(B11-C11)&lt;0.005,"PASS","REVIEW")</x:f>
        <x:v>PASS</x:v>
      </x:c>
      <x:c r="E11" t="str">
        <x:v>A/R rollforward ties to invoices and allocations</x:v>
      </x:c>
    </x:row>
    <x:row r="12">
      <x:c r="A12" t="str">
        <x:v>A/R aging to ledger difference</x:v>
      </x:c>
      <x:c r="B12" t="n">
        <x:f>AR_AGING!B45-AR_AGING!B38</x:f>
        <x:v>0</x:v>
      </x:c>
      <x:c r="C12" t="n">
        <x:v>0</x:v>
      </x:c>
      <x:c r="D12" t="str">
        <x:f>IF(ABS(B12-C12)&lt;0.005,"PASS","REVIEW")</x:f>
        <x:v>PASS</x:v>
      </x:c>
      <x:c r="E12" t="str">
        <x:v>Buckets cover all open receivables</x:v>
      </x:c>
    </x:row>
    <x:row r="13">
      <x:c r="A13" t="str">
        <x:v>Overpaid invoice flags</x:v>
      </x:c>
      <x:c r="B13" t="n">
        <x:f>AR_AGING!B46</x:f>
        <x:v>0</x:v>
      </x:c>
      <x:c r="C13" t="n">
        <x:v>0</x:v>
      </x:c>
      <x:c r="D13" t="str">
        <x:f>IF(ABS(B13-C13)&lt;0.005,"PASS","REVIEW")</x:f>
        <x:v>PASS</x:v>
      </x:c>
      <x:c r="E13" t="str">
        <x:v>Exceptions must be escalated</x:v>
      </x:c>
    </x:row>
    <x:row r="14">
      <x:c r="A14" t="str">
        <x:v>Unknown income statement mapping</x:v>
      </x:c>
      <x:c r="B14" t="n">
        <x:f>COUNTIFS(GL_EXPORT!$I$6:$I$91,"POSTED",GL_EXPORT!$J$6:$J$91,"UNKNOWN")</x:f>
        <x:v>0</x:v>
      </x:c>
      <x:c r="C14" t="n">
        <x:v>0</x:v>
      </x:c>
      <x:c r="D14" t="str">
        <x:f>IF(ABS(B14-C14)&lt;0.005,"PASS","REVIEW")</x:f>
        <x:v>PASS</x:v>
      </x:c>
      <x:c r="E14" t="str">
        <x:v>All posted P&amp;L accounts mapped</x:v>
      </x:c>
    </x:row>
    <x:row r="15">
      <x:c r="A15" t="str">
        <x:v>A/R future receipt excluded</x:v>
      </x:c>
      <x:c r="B15" t="n">
        <x:f>COUNTIFS(RECEIPTS!$C$6:$C$20,"&gt;"&amp;READ_ME!$B$6)</x:f>
        <x:v>1</x:v>
      </x:c>
      <x:c r="C15" t="n">
        <x:v>1</x:v>
      </x:c>
      <x:c r="D15" t="str">
        <x:f>IF(ABS(B15-C15)&lt;0.005,"PASS","REVIEW")</x:f>
        <x:v>PASS</x:v>
      </x:c>
      <x:c r="E15" t="str">
        <x:v>June receipt excluded from May aging</x:v>
      </x:c>
    </x:row>
    <x:row r="16">
      <x:c r="A16" t="str">
        <x:v>Pending GL rows excluded</x:v>
      </x:c>
      <x:c r="B16" t="n">
        <x:f>COUNTIF(GL_EXPORT!$I$6:$I$91,"PENDING")</x:f>
        <x:v>2</x:v>
      </x:c>
      <x:c r="C16" t="n">
        <x:v>2</x:v>
      </x:c>
      <x:c r="D16" t="str">
        <x:f>IF(ABS(B16-C16)&lt;0.005,"PASS","REVIEW")</x:f>
        <x:v>PASS</x:v>
      </x:c>
      <x:c r="E16" t="str">
        <x:v>Unapproved pending journal not in actuals</x:v>
      </x:c>
    </x:row>
    <x:row r="17">
      <x:c r="A17" s="36" t="str">
        <x:v>Month-end sign-off exceptions</x:v>
      </x:c>
      <x:c r="B17" s="36" t="n">
        <x:f>COUNTIF(D6:D16,"REVIEW")</x:f>
        <x:v>0</x:v>
      </x:c>
      <x:c r="C17" s="36" t="n">
        <x:v>0</x:v>
      </x:c>
      <x:c r="D17" s="36" t="str">
        <x:f>IF(B17=0,"PASS","REVIEW")</x:f>
        <x:v>PASS</x:v>
      </x:c>
      <x:c r="E17" t="str">
        <x:v>Do not report unresolved or unsupported controls</x:v>
      </x:c>
    </x:row>
    <x:row r="18">
      <x:c r="A18" s="36" t="str">
        <x:v>Overall close status</x:v>
      </x:c>
      <x:c r="B18" s="36" t="n">
        <x:f>B17</x:f>
        <x:v>0</x:v>
      </x:c>
      <x:c r="C18" s="36" t="n">
        <x:v>0</x:v>
      </x:c>
      <x:c r="D18" s="36" t="str">
        <x:f>D17</x:f>
        <x:v>PASS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27" hidden="0" customWidth="1"/>
    <x:col min="3" max="3" width="52" hidden="0" customWidth="1"/>
  </x:cols>
  <x:sheetData>
    <x:row r="1">
      <x:c r="A1" s="8" t="str">
        <x:v>INSTRUCTOR KEY  •  EXPECTED BASELINE</x:v>
      </x:c>
      <x:c r="B1" s="8"/>
      <x:c r="C1" s="8"/>
      <x:c r="D1" s="8"/>
      <x:c r="E1" s="8"/>
      <x:c r="F1" s="8"/>
      <x:c r="G1" s="8"/>
    </x:row>
    <x:row r="2">
      <x:c r="A2" s="8"/>
      <x:c r="B2" s="8"/>
      <x:c r="C2" s="8"/>
      <x:c r="D2" s="8"/>
      <x:c r="E2" s="8"/>
      <x:c r="F2" s="8"/>
      <x:c r="G2" s="8"/>
    </x:row>
    <x:row r="5">
      <x:c r="A5" t="str">
        <x:v>GL posted lines</x:v>
      </x:c>
      <x:c r="B5" s="12" t="n">
        <x:v>84</x:v>
      </x:c>
      <x:c r="D5" t="str">
        <x:v>Timing references: REC-014 (deposit), PAY-013 and PAY-014 (outstanding).</x:v>
      </x:c>
    </x:row>
    <x:row r="6">
      <x:c r="A6" t="str">
        <x:v>Opening cash (USD)</x:v>
      </x:c>
      <x:c r="B6" s="12" t="n">
        <x:v>35000</x:v>
      </x:c>
    </x:row>
    <x:row r="7">
      <x:c r="A7" t="str">
        <x:v>Book cash before adjustments</x:v>
      </x:c>
      <x:c r="B7" s="12" t="n">
        <x:v>47060</x:v>
      </x:c>
      <x:c r="D7" t="str">
        <x:v>Bank-only items: BANK-FEE = -55 USD, BANK-INT = +15 USD.</x:v>
      </x:c>
    </x:row>
    <x:row r="8">
      <x:c r="A8" t="str">
        <x:v>Bank closing balance</x:v>
      </x:c>
      <x:c r="B8" s="12" t="n">
        <x:v>44130</x:v>
      </x:c>
    </x:row>
    <x:row r="9">
      <x:c r="A9" t="str">
        <x:v>Deposit in transit</x:v>
      </x:c>
      <x:c r="B9" s="12" t="n">
        <x:v>4550</x:v>
      </x:c>
      <x:c r="D9" t="str">
        <x:v>All source data are fictional. No private or employer records used.</x:v>
      </x:c>
    </x:row>
    <x:row r="10">
      <x:c r="A10" t="str">
        <x:v>Outstanding payments</x:v>
      </x:c>
      <x:c r="B10" s="12" t="n">
        <x:v>1660</x:v>
      </x:c>
    </x:row>
    <x:row r="11">
      <x:c r="A11" t="str">
        <x:v>Adjusted cash balance</x:v>
      </x:c>
      <x:c r="B11" s="12" t="n">
        <x:v>47020</x:v>
      </x:c>
    </x:row>
    <x:row r="12">
      <x:c r="A12" t="str">
        <x:v>Opening A/R</x:v>
      </x:c>
      <x:c r="B12" s="12" t="n">
        <x:v>25500</x:v>
      </x:c>
    </x:row>
    <x:row r="13">
      <x:c r="A13" t="str">
        <x:v>May invoiced</x:v>
      </x:c>
      <x:c r="B13" s="12" t="n">
        <x:v>72100</x:v>
      </x:c>
    </x:row>
    <x:row r="14">
      <x:c r="A14" t="str">
        <x:v>May cash receipts</x:v>
      </x:c>
      <x:c r="B14" s="12" t="n">
        <x:v>49050</x:v>
      </x:c>
    </x:row>
    <x:row r="15">
      <x:c r="A15" t="str">
        <x:v>May credit notes</x:v>
      </x:c>
      <x:c r="B15" s="12" t="n">
        <x:v>180</x:v>
      </x:c>
    </x:row>
    <x:row r="16">
      <x:c r="A16" t="str">
        <x:v>Closing A/R</x:v>
      </x:c>
      <x:c r="B16" s="12" t="n">
        <x:v>48370</x:v>
      </x:c>
    </x:row>
    <x:row r="17">
      <x:c r="A17" t="str">
        <x:v>May revenue (net)</x:v>
      </x:c>
      <x:c r="B17" s="12" t="n">
        <x:v>71920</x:v>
      </x:c>
    </x:row>
    <x:row r="18">
      <x:c r="A18" t="str">
        <x:v>Actual operating contribution</x:v>
      </x:c>
      <x:c r="B18" s="12" t="n">
        <x:v>34890</x:v>
      </x:c>
    </x:row>
    <x:row r="19">
      <x:c r="A19" t="str">
        <x:v>Budget contribution</x:v>
      </x:c>
      <x:c r="B19" s="12" t="n">
        <x:v>33160</x:v>
      </x:c>
    </x:row>
    <x:row r="20">
      <x:c r="A20" t="str">
        <x:v>Contribution variance</x:v>
      </x:c>
      <x:c r="B20" s="12" t="n">
        <x:v>1730</x:v>
      </x:c>
    </x:row>
    <x:row r="21">
      <x:c r="B21" s="12"/>
    </x:row>
    <x:row r="22">
      <x:c r="B22" s="12"/>
    </x:row>
    <x:row r="23">
      <x:c r="B23" s="12"/>
    </x:row>
    <x:row r="24">
      <x:c r="B24" s="12"/>
    </x:row>
    <x:row r="25">
      <x:c r="B25" s="12"/>
    </x:row>
  </x:sheetData>
  <x:pageMargins left="0.7" right="0.7" top="0.75" bottom="0.75" header="0.3" footer="0.3"/>
</x:worksheet>
</file>